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urtauldinstitute-my.sharepoint.com/personal/khuram_ahmad_courtauld_ac_uk/Documents/US Loans/26-27 US Loans/"/>
    </mc:Choice>
  </mc:AlternateContent>
  <xr:revisionPtr revIDLastSave="151" documentId="8_{E6A45C2C-62E7-4B3F-AA0B-80897874F746}" xr6:coauthVersionLast="47" xr6:coauthVersionMax="47" xr10:uidLastSave="{96B74667-C721-465C-BBCA-757753483168}"/>
  <bookViews>
    <workbookView xWindow="-110" yWindow="-110" windowWidth="19420" windowHeight="10300" firstSheet="1" activeTab="1" xr2:uid="{75C623C0-8643-447F-ADFA-ACAC8FF32BEE}"/>
  </bookViews>
  <sheets>
    <sheet name="Visa Letter" sheetId="3" state="hidden" r:id="rId1"/>
    <sheet name="Cost of Attendance" sheetId="1" r:id="rId2"/>
    <sheet name="Data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7" i="1" l="1"/>
  <c r="B76" i="1"/>
  <c r="D6" i="1"/>
  <c r="D7" i="1"/>
  <c r="B16" i="2"/>
  <c r="E53" i="1"/>
  <c r="E52" i="1"/>
  <c r="E51" i="1"/>
  <c r="D17" i="1" l="1"/>
  <c r="E17" i="1" l="1"/>
  <c r="D8" i="2"/>
  <c r="A11" i="3" l="1"/>
  <c r="A52" i="3"/>
  <c r="A53" i="3"/>
  <c r="A54" i="3"/>
  <c r="A55" i="3"/>
  <c r="A51" i="3"/>
  <c r="A41" i="3"/>
  <c r="A42" i="3"/>
  <c r="A43" i="3"/>
  <c r="A40" i="3"/>
  <c r="C56" i="2"/>
  <c r="B43" i="3" s="1"/>
  <c r="E20" i="2"/>
  <c r="B28" i="3" s="1"/>
  <c r="D51" i="2"/>
  <c r="B18" i="3"/>
  <c r="B17" i="3"/>
  <c r="A3" i="3"/>
  <c r="A4" i="3"/>
  <c r="A5" i="3"/>
  <c r="A6" i="3"/>
  <c r="A2" i="3"/>
  <c r="B16" i="3"/>
  <c r="A1" i="3"/>
  <c r="B15" i="3" s="1"/>
  <c r="C24" i="1"/>
  <c r="C25" i="1"/>
  <c r="G13" i="2"/>
  <c r="E13" i="2"/>
  <c r="E8" i="2"/>
  <c r="C26" i="1"/>
  <c r="B17" i="1"/>
  <c r="B18" i="1" s="1"/>
  <c r="C18" i="1"/>
  <c r="C19" i="1"/>
  <c r="C20" i="1"/>
  <c r="C21" i="1"/>
  <c r="C22" i="1"/>
  <c r="C23" i="1"/>
  <c r="C17" i="1"/>
  <c r="H7" i="2"/>
  <c r="H8" i="2" s="1"/>
  <c r="C44" i="1"/>
  <c r="C43" i="1"/>
  <c r="M46" i="2"/>
  <c r="M45" i="2"/>
  <c r="M43" i="2"/>
  <c r="M44" i="2"/>
  <c r="I44" i="2"/>
  <c r="I45" i="2"/>
  <c r="M42" i="2"/>
  <c r="N42" i="2"/>
  <c r="L42" i="2"/>
  <c r="I43" i="2"/>
  <c r="B59" i="3"/>
  <c r="H9" i="2" l="1"/>
  <c r="H10" i="2" s="1"/>
  <c r="H11" i="2" s="1"/>
  <c r="H12" i="2" s="1"/>
  <c r="H13" i="2" s="1"/>
  <c r="H14" i="2" s="1"/>
  <c r="H15" i="2" s="1"/>
  <c r="I7" i="2"/>
  <c r="B19" i="1"/>
  <c r="I13" i="2" l="1"/>
  <c r="J13" i="2"/>
  <c r="J7" i="2"/>
  <c r="B20" i="1"/>
  <c r="C41" i="1"/>
  <c r="C52" i="1" s="1"/>
  <c r="C40" i="1"/>
  <c r="C51" i="1" s="1"/>
  <c r="C34" i="2"/>
  <c r="C33" i="2"/>
  <c r="C32" i="2"/>
  <c r="E29" i="2"/>
  <c r="C28" i="2"/>
  <c r="E28" i="2" s="1"/>
  <c r="F8" i="2"/>
  <c r="D9" i="2"/>
  <c r="B41" i="2" l="1"/>
  <c r="I46" i="2" s="1"/>
  <c r="E21" i="2"/>
  <c r="B29" i="3" s="1"/>
  <c r="D10" i="2"/>
  <c r="E9" i="2"/>
  <c r="I9" i="2" s="1"/>
  <c r="F9" i="2"/>
  <c r="G8" i="2"/>
  <c r="J8" i="2" s="1"/>
  <c r="G14" i="2"/>
  <c r="E14" i="2"/>
  <c r="I8" i="2"/>
  <c r="E18" i="1" s="1"/>
  <c r="D18" i="1"/>
  <c r="B21" i="1"/>
  <c r="F30" i="2"/>
  <c r="I30" i="2"/>
  <c r="K32" i="2"/>
  <c r="J31" i="2"/>
  <c r="J29" i="2"/>
  <c r="J30" i="2"/>
  <c r="I31" i="2"/>
  <c r="K29" i="2"/>
  <c r="I32" i="2"/>
  <c r="I29" i="2"/>
  <c r="J32" i="2"/>
  <c r="K30" i="2"/>
  <c r="K31" i="2"/>
  <c r="D11" i="2" l="1"/>
  <c r="E10" i="2"/>
  <c r="F10" i="2"/>
  <c r="G9" i="2"/>
  <c r="J9" i="2" s="1"/>
  <c r="E19" i="1" s="1"/>
  <c r="I14" i="2"/>
  <c r="J14" i="2"/>
  <c r="B22" i="1"/>
  <c r="C42" i="1"/>
  <c r="C53" i="1" s="1"/>
  <c r="D44" i="2"/>
  <c r="I33" i="2"/>
  <c r="K33" i="2"/>
  <c r="D19" i="1" l="1"/>
  <c r="F11" i="2"/>
  <c r="G10" i="2"/>
  <c r="I10" i="2"/>
  <c r="D20" i="1"/>
  <c r="D12" i="2"/>
  <c r="E12" i="2" s="1"/>
  <c r="I12" i="2" s="1"/>
  <c r="E11" i="2"/>
  <c r="B23" i="1"/>
  <c r="F44" i="2"/>
  <c r="E44" i="1" s="1"/>
  <c r="D44" i="1"/>
  <c r="D56" i="1" s="1"/>
  <c r="L43" i="2" l="1"/>
  <c r="B24" i="1"/>
  <c r="E24" i="1" s="1"/>
  <c r="E23" i="1"/>
  <c r="J10" i="2"/>
  <c r="E20" i="1" s="1"/>
  <c r="I11" i="2"/>
  <c r="F12" i="2"/>
  <c r="G12" i="2" s="1"/>
  <c r="J12" i="2" s="1"/>
  <c r="E22" i="1" s="1"/>
  <c r="G11" i="2"/>
  <c r="J11" i="2" s="1"/>
  <c r="E21" i="1" s="1"/>
  <c r="B26" i="1"/>
  <c r="D23" i="1"/>
  <c r="F56" i="1"/>
  <c r="N43" i="2" s="1"/>
  <c r="E26" i="1" l="1"/>
  <c r="F47" i="2" s="1"/>
  <c r="D24" i="1"/>
  <c r="B25" i="1"/>
  <c r="D21" i="1"/>
  <c r="D22" i="1"/>
  <c r="E15" i="2" l="1"/>
  <c r="G15" i="2"/>
  <c r="D25" i="1" s="1"/>
  <c r="F27" i="2"/>
  <c r="D26" i="1"/>
  <c r="J15" i="2" l="1"/>
  <c r="J16" i="2" s="1"/>
  <c r="G16" i="2"/>
  <c r="I15" i="2"/>
  <c r="E16" i="2"/>
  <c r="F31" i="2"/>
  <c r="D39" i="2" s="1"/>
  <c r="I16" i="2" l="1"/>
  <c r="E25" i="1"/>
  <c r="B51" i="1"/>
  <c r="G51" i="1" s="1"/>
  <c r="D40" i="2"/>
  <c r="D40" i="1"/>
  <c r="F51" i="1"/>
  <c r="N44" i="2" s="1"/>
  <c r="F39" i="2" l="1"/>
  <c r="E40" i="1" s="1"/>
  <c r="L45" i="2"/>
  <c r="B52" i="1"/>
  <c r="B35" i="3"/>
  <c r="F40" i="2"/>
  <c r="D41" i="1"/>
  <c r="L44" i="2"/>
  <c r="B34" i="3"/>
  <c r="F52" i="1" l="1"/>
  <c r="G52" i="1"/>
  <c r="E41" i="1"/>
  <c r="J38" i="2" s="1"/>
  <c r="J39" i="2" s="1"/>
  <c r="N45" i="2" l="1"/>
  <c r="D54" i="1"/>
  <c r="B75" i="1" s="1"/>
  <c r="D59" i="1" l="1"/>
  <c r="B36" i="3"/>
  <c r="B37" i="3"/>
  <c r="F53" i="1"/>
  <c r="B40" i="3" l="1"/>
  <c r="B41" i="3"/>
  <c r="F54" i="1"/>
  <c r="N46" i="2"/>
  <c r="N47" i="2" s="1"/>
  <c r="F48" i="2" s="1"/>
  <c r="F49" i="2" l="1"/>
  <c r="B58" i="1" s="1"/>
  <c r="B42" i="3"/>
  <c r="F58" i="1"/>
  <c r="F59" i="1" s="1"/>
  <c r="N49" i="2"/>
  <c r="G58" i="1" l="1"/>
  <c r="B44" i="3"/>
  <c r="B45" i="3" s="1"/>
  <c r="D41" i="2"/>
  <c r="F41" i="2" l="1"/>
  <c r="L46" i="2"/>
  <c r="B53" i="1"/>
  <c r="G53" i="1" s="1"/>
  <c r="D42" i="1"/>
  <c r="D42" i="2"/>
  <c r="D52" i="2" l="1"/>
  <c r="D43" i="1"/>
  <c r="D45" i="1" s="1"/>
  <c r="F42" i="2"/>
  <c r="E42" i="1"/>
  <c r="E43" i="1" s="1"/>
  <c r="E45" i="1" s="1"/>
  <c r="E27" i="1" l="1"/>
  <c r="E28" i="1" s="1"/>
  <c r="C53" i="2"/>
  <c r="C54" i="2"/>
  <c r="C55" i="2"/>
  <c r="C57" i="2" l="1"/>
  <c r="D57" i="2" s="1"/>
</calcChain>
</file>

<file path=xl/sharedStrings.xml><?xml version="1.0" encoding="utf-8"?>
<sst xmlns="http://schemas.openxmlformats.org/spreadsheetml/2006/main" count="173" uniqueCount="157">
  <si>
    <t>Cost of Attendance</t>
  </si>
  <si>
    <t>These are the costs for the year</t>
  </si>
  <si>
    <t xml:space="preserve">This has been calculated using an exchange rate of </t>
  </si>
  <si>
    <t>Please answer these questions</t>
  </si>
  <si>
    <t>Will you be studying for a Bachelor Course</t>
  </si>
  <si>
    <t>In which year of study will you be</t>
  </si>
  <si>
    <t>Books</t>
  </si>
  <si>
    <t>Travel</t>
  </si>
  <si>
    <t>Room</t>
  </si>
  <si>
    <t>Board</t>
  </si>
  <si>
    <t>Return Flights</t>
  </si>
  <si>
    <t>Rate</t>
  </si>
  <si>
    <t>UG</t>
  </si>
  <si>
    <t>PG</t>
  </si>
  <si>
    <t>UG Pounds</t>
  </si>
  <si>
    <t>UG Dollars</t>
  </si>
  <si>
    <t>PG Pounds</t>
  </si>
  <si>
    <t>PG Dollars</t>
  </si>
  <si>
    <t>weeks</t>
  </si>
  <si>
    <t>FX Rate</t>
  </si>
  <si>
    <t>Weekly</t>
  </si>
  <si>
    <t>No of Weeks</t>
  </si>
  <si>
    <t>Year</t>
  </si>
  <si>
    <t>Tuition</t>
  </si>
  <si>
    <t>$US Dollars</t>
  </si>
  <si>
    <t>£ Sterling</t>
  </si>
  <si>
    <t>Loan Eligibility</t>
  </si>
  <si>
    <t>Please Answer these Questions</t>
  </si>
  <si>
    <t>Unsubsidised Loan</t>
  </si>
  <si>
    <t>Cash Value</t>
  </si>
  <si>
    <t>Cash Value after US Govt Fees</t>
  </si>
  <si>
    <t>Gross Loan Value</t>
  </si>
  <si>
    <t>This is the Cost of Attendance Spreadsheet</t>
  </si>
  <si>
    <t>It is also the Consumer Disclosure of  your Loan Eligibility</t>
  </si>
  <si>
    <t>CoA</t>
  </si>
  <si>
    <t>Other sterling funding</t>
  </si>
  <si>
    <t>Other dollar Funding</t>
  </si>
  <si>
    <t>Loan Entitlement</t>
  </si>
  <si>
    <t>MAXIMUM LOAN LEVELS AVAILABLE</t>
  </si>
  <si>
    <t>Sub</t>
  </si>
  <si>
    <t>Unsub Depend</t>
  </si>
  <si>
    <t>Unsub Ind</t>
  </si>
  <si>
    <t>postgraduates</t>
  </si>
  <si>
    <t>Undergraduate1</t>
  </si>
  <si>
    <t>Undergraduate2</t>
  </si>
  <si>
    <t>Undergraduate&gt;2</t>
  </si>
  <si>
    <t>Max Loan Available</t>
  </si>
  <si>
    <t>There is no Subsidised Loan for postgraduates</t>
  </si>
  <si>
    <t>Status</t>
  </si>
  <si>
    <t>to dollars</t>
  </si>
  <si>
    <t>Loans for this student before EFC calculation</t>
  </si>
  <si>
    <t>Please enter your tuition fee in Pounds Sterling - check using link below</t>
  </si>
  <si>
    <t>Need for loans</t>
  </si>
  <si>
    <t>Orig Fee</t>
  </si>
  <si>
    <t>PLUS Calculation</t>
  </si>
  <si>
    <t>Need for PLUS</t>
  </si>
  <si>
    <t>Dollar funding from other sources</t>
  </si>
  <si>
    <t>Tell us how much you wish to borrow</t>
  </si>
  <si>
    <t>Only adjust the yellow boxes</t>
  </si>
  <si>
    <t>US Govt Origination Fee %</t>
  </si>
  <si>
    <t>Max Allowed</t>
  </si>
  <si>
    <t xml:space="preserve">You already have other funding of </t>
  </si>
  <si>
    <t>Total Fundung using Federal loans</t>
  </si>
  <si>
    <t>Notification of Student Loan</t>
  </si>
  <si>
    <t xml:space="preserve">This is to certify that </t>
  </si>
  <si>
    <t>Student Name</t>
  </si>
  <si>
    <t>Date of Birth</t>
  </si>
  <si>
    <t>has been accepted in a degree-granting program (or otherwise eligible program) at our school.</t>
  </si>
  <si>
    <r>
      <t>We participate in the William D. Ford Federal Direct Loan (Direct Loan) Program administered by the United States (U.S.) Department of Education</t>
    </r>
    <r>
      <rPr>
        <i/>
        <sz val="12"/>
        <rFont val="Times New Roman"/>
        <family val="1"/>
      </rPr>
      <t>.</t>
    </r>
    <r>
      <rPr>
        <sz val="12"/>
        <rFont val="Times New Roman"/>
        <family val="1"/>
      </rPr>
      <t xml:space="preserve"> </t>
    </r>
  </si>
  <si>
    <t xml:space="preserve">Eligible students from the U.S. who attend our school may borrow through the Direct Loan Program. </t>
  </si>
  <si>
    <t>Undergraduate students and graduate/professional students may receive Direct Subsidized Loans and Direct Unsubsidized Loans.</t>
  </si>
  <si>
    <t>Based on our calculation of the student’s financial needs and Direct Loan eligibility for the loan period</t>
  </si>
  <si>
    <t>Start Date</t>
  </si>
  <si>
    <t>End Date</t>
  </si>
  <si>
    <t>which come from the US Dept of Education and are administered through this school.</t>
  </si>
  <si>
    <t>Loan Type</t>
  </si>
  <si>
    <t>Loan Amount</t>
  </si>
  <si>
    <t>Direct Subsidized Loan</t>
  </si>
  <si>
    <t>Direct Unsubsidized Loan</t>
  </si>
  <si>
    <t>Direct PLUS Loan</t>
  </si>
  <si>
    <t>Total</t>
  </si>
  <si>
    <t>The disbursement dates are as follows:</t>
  </si>
  <si>
    <t>Rounding Difference</t>
  </si>
  <si>
    <t>Date Issued</t>
  </si>
  <si>
    <t>Student Choices</t>
  </si>
  <si>
    <t>PLUS calculated</t>
  </si>
  <si>
    <t>after adjustments to provide the needed cash yield</t>
  </si>
  <si>
    <t>Loan</t>
  </si>
  <si>
    <t>other funding plus federal loan choices</t>
  </si>
  <si>
    <t>Cash Value after US Govt Fee</t>
  </si>
  <si>
    <t>You also have other funding of</t>
  </si>
  <si>
    <t>Total Federal Loans</t>
  </si>
  <si>
    <t>Total Funding, Awards and Loans</t>
  </si>
  <si>
    <t>laptop, printer</t>
  </si>
  <si>
    <t>Student SSN</t>
  </si>
  <si>
    <t>Studying</t>
  </si>
  <si>
    <t>The student (or, in some cases, the student’s parent) will receive the following Direct Loan awards</t>
  </si>
  <si>
    <t>Disbursement Dates</t>
  </si>
  <si>
    <t xml:space="preserve">only enter the dates </t>
  </si>
  <si>
    <t>number of disburse</t>
  </si>
  <si>
    <t>each</t>
  </si>
  <si>
    <t>Academic Year</t>
  </si>
  <si>
    <t>Start of academic year</t>
  </si>
  <si>
    <t>Registration/Enrolment starts</t>
  </si>
  <si>
    <t>End of final term/semester</t>
  </si>
  <si>
    <t>End for postgraduates</t>
  </si>
  <si>
    <t>School</t>
  </si>
  <si>
    <t>This student</t>
  </si>
  <si>
    <t>Totals</t>
  </si>
  <si>
    <t>This is your Cost of Attendance</t>
  </si>
  <si>
    <t>This is the Loan Eligibility Section</t>
  </si>
  <si>
    <t>Taking information from student input on CoA sheet</t>
  </si>
  <si>
    <t>Information to student</t>
  </si>
  <si>
    <t>Initials of who can sign visa letter</t>
  </si>
  <si>
    <t>Tell us Who you are, this is for your Award Letter</t>
  </si>
  <si>
    <t>1st Year extras</t>
  </si>
  <si>
    <t>Based on the information you have given, this is your Federal Loan Eligibility</t>
  </si>
  <si>
    <t>The first part is the Consumer Disclosure Cost of Attendance as set by the school</t>
  </si>
  <si>
    <t>It concludes as your loan values request</t>
  </si>
  <si>
    <t>To ensure this information is accurate,  complete the yellow boxes</t>
  </si>
  <si>
    <t>From your ISIR, what is your SAI?</t>
  </si>
  <si>
    <t>What is the dependency status shown on your ISIR</t>
  </si>
  <si>
    <t>Subsidised Loan adjusted by SAI</t>
  </si>
  <si>
    <t>2026/27</t>
  </si>
  <si>
    <t>Max Private Loans Allowed</t>
  </si>
  <si>
    <r>
      <t>If you wish to borrow a Private Loan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 add it here</t>
    </r>
  </si>
  <si>
    <t>Private Loan</t>
  </si>
  <si>
    <t>Net Cost of Attendance (inc Max Loan Fees)</t>
  </si>
  <si>
    <t>Loan Origination Fees (Max)</t>
  </si>
  <si>
    <t>Forename</t>
  </si>
  <si>
    <t>Surname</t>
  </si>
  <si>
    <t>Add 1</t>
  </si>
  <si>
    <t>Add 2</t>
  </si>
  <si>
    <t>Add 3</t>
  </si>
  <si>
    <t>Add 4</t>
  </si>
  <si>
    <t>Zipcode</t>
  </si>
  <si>
    <t>email</t>
  </si>
  <si>
    <t>D.O.B</t>
  </si>
  <si>
    <t>SSN</t>
  </si>
  <si>
    <t>Student ID</t>
  </si>
  <si>
    <t>Course</t>
  </si>
  <si>
    <t xml:space="preserve">Parents of undergraduate students may receive Direct PLUS Loans. </t>
  </si>
  <si>
    <r>
      <t xml:space="preserve">If someone else is paying tuition fees on your behalf, then enter how much here. Only enter the pounds </t>
    </r>
    <r>
      <rPr>
        <b/>
        <sz val="10"/>
        <color theme="1"/>
        <rFont val="Arial"/>
        <family val="2"/>
      </rPr>
      <t>or</t>
    </r>
    <r>
      <rPr>
        <sz val="10"/>
        <color theme="1"/>
        <rFont val="Arial"/>
        <family val="2"/>
      </rPr>
      <t xml:space="preserve"> the dollars </t>
    </r>
  </si>
  <si>
    <r>
      <t xml:space="preserve">If you will receive financial aid from another source, for living, then  write how much here. Only enter the pounds </t>
    </r>
    <r>
      <rPr>
        <b/>
        <sz val="10"/>
        <color theme="1"/>
        <rFont val="Arial"/>
        <family val="2"/>
      </rPr>
      <t>or</t>
    </r>
    <r>
      <rPr>
        <sz val="10"/>
        <color theme="1"/>
        <rFont val="Arial"/>
        <family val="2"/>
      </rPr>
      <t xml:space="preserve"> the dollars</t>
    </r>
  </si>
  <si>
    <t>Total of Maximum Federal Loans and Other funding</t>
  </si>
  <si>
    <t>Professional Judgement</t>
  </si>
  <si>
    <t>KA</t>
  </si>
  <si>
    <t>AH</t>
  </si>
  <si>
    <t>RB</t>
  </si>
  <si>
    <t>IBM</t>
  </si>
  <si>
    <t>DH</t>
  </si>
  <si>
    <t>Student Earnest Request</t>
  </si>
  <si>
    <t>The Courtauld</t>
  </si>
  <si>
    <t>https://courtauld.ac.uk/explore-our-courses/tuition-fees/</t>
  </si>
  <si>
    <t>Food</t>
  </si>
  <si>
    <t>$0</t>
  </si>
  <si>
    <t>Earnest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</si>
</sst>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$-409]#,##0"/>
    <numFmt numFmtId="165" formatCode="&quot;£&quot;#,##0"/>
    <numFmt numFmtId="166" formatCode="[$-F800]dddd\,\ mmmm\ dd\,\ yyyy"/>
    <numFmt numFmtId="167" formatCode="[$-809]d\ mmmm\ yyyy;@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4"/>
      <name val="Arial"/>
      <family val="2"/>
    </font>
    <font>
      <b/>
      <sz val="14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9"/>
      <color theme="4" tint="-0.499984740745262"/>
      <name val="Arial"/>
      <family val="2"/>
    </font>
    <font>
      <sz val="9"/>
      <color theme="4" tint="-0.499984740745262"/>
      <name val="Arial"/>
      <family val="2"/>
    </font>
    <font>
      <sz val="9"/>
      <color theme="4" tint="-0.499984740745262"/>
      <name val="Calibri"/>
      <family val="2"/>
      <scheme val="minor"/>
    </font>
    <font>
      <b/>
      <u/>
      <sz val="9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0"/>
      <color indexed="12"/>
      <name val="Times New Roman"/>
      <family val="1"/>
    </font>
    <font>
      <b/>
      <sz val="11"/>
      <color rgb="FF0070C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rgb="FF0070C0"/>
      <name val="Arial"/>
      <family val="2"/>
    </font>
    <font>
      <b/>
      <sz val="16"/>
      <color rgb="FFFF0000"/>
      <name val="Arial"/>
      <family val="2"/>
    </font>
    <font>
      <sz val="11"/>
      <color theme="0" tint="-0.499984740745262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b/>
      <sz val="12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i/>
      <sz val="12"/>
      <name val="Times New Roman"/>
      <family val="1"/>
    </font>
    <font>
      <b/>
      <sz val="12"/>
      <name val="Arial"/>
      <family val="2"/>
    </font>
    <font>
      <sz val="10"/>
      <color rgb="FFFF0000"/>
      <name val="Arial"/>
      <family val="2"/>
    </font>
    <font>
      <sz val="10"/>
      <color theme="4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20"/>
      <name val="Times New Roman"/>
      <family val="1"/>
    </font>
    <font>
      <b/>
      <sz val="11"/>
      <color rgb="FF002060"/>
      <name val="Calibri"/>
      <family val="2"/>
      <scheme val="minor"/>
    </font>
    <font>
      <sz val="10"/>
      <color theme="7"/>
      <name val="Arial"/>
      <family val="2"/>
    </font>
    <font>
      <b/>
      <sz val="10"/>
      <name val="Arial"/>
      <family val="2"/>
    </font>
    <font>
      <u/>
      <sz val="18"/>
      <name val="Arial"/>
      <family val="2"/>
    </font>
    <font>
      <b/>
      <u/>
      <sz val="10"/>
      <color theme="4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u/>
      <sz val="10"/>
      <name val="Arial"/>
      <family val="2"/>
    </font>
    <font>
      <b/>
      <sz val="47"/>
      <color rgb="FF072B3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  <xf numFmtId="0" fontId="5" fillId="0" borderId="0"/>
  </cellStyleXfs>
  <cellXfs count="14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5" fontId="0" fillId="0" borderId="0" xfId="0" applyNumberFormat="1"/>
    <xf numFmtId="164" fontId="0" fillId="0" borderId="0" xfId="0" applyNumberFormat="1"/>
    <xf numFmtId="0" fontId="0" fillId="3" borderId="0" xfId="0" applyFill="1"/>
    <xf numFmtId="0" fontId="7" fillId="0" borderId="0" xfId="0" applyFon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64" fontId="16" fillId="0" borderId="0" xfId="0" applyNumberFormat="1" applyFont="1" applyAlignment="1">
      <alignment horizontal="right"/>
    </xf>
    <xf numFmtId="164" fontId="16" fillId="0" borderId="0" xfId="0" applyNumberFormat="1" applyFont="1"/>
    <xf numFmtId="0" fontId="16" fillId="0" borderId="0" xfId="0" applyFont="1"/>
    <xf numFmtId="0" fontId="16" fillId="3" borderId="0" xfId="0" applyFont="1" applyFill="1"/>
    <xf numFmtId="0" fontId="17" fillId="0" borderId="0" xfId="0" applyFont="1"/>
    <xf numFmtId="165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19" fillId="0" borderId="0" xfId="0" applyFont="1"/>
    <xf numFmtId="0" fontId="5" fillId="0" borderId="0" xfId="0" applyFont="1"/>
    <xf numFmtId="0" fontId="20" fillId="2" borderId="0" xfId="0" applyFont="1" applyFill="1" applyAlignment="1">
      <alignment horizontal="center"/>
    </xf>
    <xf numFmtId="1" fontId="5" fillId="0" borderId="2" xfId="1" applyNumberFormat="1" applyFont="1" applyBorder="1" applyAlignment="1" applyProtection="1">
      <alignment horizontal="left"/>
    </xf>
    <xf numFmtId="1" fontId="5" fillId="0" borderId="0" xfId="1" applyNumberFormat="1" applyFont="1" applyBorder="1" applyAlignment="1" applyProtection="1">
      <alignment horizontal="center"/>
    </xf>
    <xf numFmtId="1" fontId="5" fillId="0" borderId="2" xfId="0" applyNumberFormat="1" applyFont="1" applyBorder="1" applyAlignment="1">
      <alignment horizontal="left"/>
    </xf>
    <xf numFmtId="1" fontId="5" fillId="0" borderId="2" xfId="1" applyNumberFormat="1" applyFont="1" applyFill="1" applyBorder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22" fillId="3" borderId="0" xfId="0" applyFont="1" applyFill="1"/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 indent="24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/>
    <xf numFmtId="165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164" fontId="9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3" fillId="0" borderId="0" xfId="0" applyFont="1"/>
    <xf numFmtId="0" fontId="24" fillId="0" borderId="0" xfId="0" applyFont="1"/>
    <xf numFmtId="0" fontId="4" fillId="3" borderId="0" xfId="0" applyFont="1" applyFill="1" applyAlignment="1" applyProtection="1">
      <alignment horizontal="center"/>
      <protection locked="0"/>
    </xf>
    <xf numFmtId="165" fontId="4" fillId="3" borderId="0" xfId="0" applyNumberFormat="1" applyFont="1" applyFill="1" applyAlignment="1" applyProtection="1">
      <alignment horizontal="center"/>
      <protection locked="0"/>
    </xf>
    <xf numFmtId="164" fontId="4" fillId="3" borderId="0" xfId="0" applyNumberFormat="1" applyFont="1" applyFill="1" applyProtection="1">
      <protection locked="0"/>
    </xf>
    <xf numFmtId="164" fontId="4" fillId="3" borderId="0" xfId="0" applyNumberFormat="1" applyFont="1" applyFill="1" applyAlignment="1" applyProtection="1">
      <alignment horizontal="center"/>
      <protection locked="0"/>
    </xf>
    <xf numFmtId="43" fontId="21" fillId="3" borderId="0" xfId="1" applyFont="1" applyFill="1" applyBorder="1" applyAlignment="1" applyProtection="1">
      <alignment horizontal="center"/>
      <protection locked="0"/>
    </xf>
    <xf numFmtId="49" fontId="20" fillId="3" borderId="0" xfId="1" applyNumberFormat="1" applyFont="1" applyFill="1" applyBorder="1" applyAlignment="1" applyProtection="1">
      <alignment horizontal="center"/>
      <protection locked="0"/>
    </xf>
    <xf numFmtId="166" fontId="20" fillId="3" borderId="0" xfId="0" applyNumberFormat="1" applyFont="1" applyFill="1" applyAlignment="1" applyProtection="1">
      <alignment horizontal="center"/>
      <protection locked="0"/>
    </xf>
    <xf numFmtId="49" fontId="21" fillId="3" borderId="0" xfId="1" applyNumberFormat="1" applyFont="1" applyFill="1" applyBorder="1" applyAlignment="1" applyProtection="1">
      <alignment horizontal="center"/>
      <protection locked="0"/>
    </xf>
    <xf numFmtId="49" fontId="20" fillId="3" borderId="0" xfId="0" applyNumberFormat="1" applyFont="1" applyFill="1" applyAlignment="1" applyProtection="1">
      <alignment horizontal="center"/>
      <protection locked="0"/>
    </xf>
    <xf numFmtId="0" fontId="26" fillId="0" borderId="0" xfId="0" applyFont="1" applyProtection="1">
      <protection hidden="1"/>
    </xf>
    <xf numFmtId="0" fontId="0" fillId="0" borderId="0" xfId="0" applyProtection="1">
      <protection hidden="1"/>
    </xf>
    <xf numFmtId="49" fontId="25" fillId="0" borderId="0" xfId="0" applyNumberFormat="1" applyFont="1" applyAlignment="1" applyProtection="1">
      <alignment horizontal="center"/>
      <protection hidden="1"/>
    </xf>
    <xf numFmtId="49" fontId="27" fillId="0" borderId="0" xfId="0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left"/>
      <protection hidden="1"/>
    </xf>
    <xf numFmtId="0" fontId="29" fillId="0" borderId="0" xfId="0" applyFont="1" applyProtection="1">
      <protection hidden="1"/>
    </xf>
    <xf numFmtId="0" fontId="25" fillId="0" borderId="3" xfId="0" applyFont="1" applyBorder="1" applyAlignment="1" applyProtection="1">
      <alignment horizontal="center" vertical="top" wrapText="1"/>
      <protection hidden="1"/>
    </xf>
    <xf numFmtId="0" fontId="30" fillId="0" borderId="0" xfId="0" applyFont="1" applyProtection="1">
      <protection hidden="1"/>
    </xf>
    <xf numFmtId="0" fontId="30" fillId="0" borderId="0" xfId="0" applyFont="1"/>
    <xf numFmtId="167" fontId="25" fillId="0" borderId="3" xfId="0" applyNumberFormat="1" applyFont="1" applyBorder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32" fillId="0" borderId="0" xfId="0" applyFont="1"/>
    <xf numFmtId="0" fontId="31" fillId="0" borderId="0" xfId="0" applyFont="1"/>
    <xf numFmtId="0" fontId="25" fillId="0" borderId="3" xfId="0" applyFont="1" applyBorder="1" applyAlignment="1" applyProtection="1">
      <alignment horizontal="center"/>
      <protection hidden="1"/>
    </xf>
    <xf numFmtId="166" fontId="25" fillId="0" borderId="3" xfId="0" applyNumberFormat="1" applyFont="1" applyBorder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5" fillId="0" borderId="0" xfId="0" applyFont="1"/>
    <xf numFmtId="164" fontId="25" fillId="0" borderId="3" xfId="0" applyNumberFormat="1" applyFont="1" applyBorder="1" applyAlignment="1" applyProtection="1">
      <alignment horizontal="center"/>
      <protection hidden="1"/>
    </xf>
    <xf numFmtId="0" fontId="25" fillId="0" borderId="4" xfId="0" applyFont="1" applyBorder="1" applyAlignment="1" applyProtection="1">
      <alignment horizontal="center" vertical="top" wrapText="1"/>
      <protection hidden="1"/>
    </xf>
    <xf numFmtId="164" fontId="26" fillId="0" borderId="0" xfId="0" applyNumberFormat="1" applyFont="1" applyProtection="1">
      <protection hidden="1"/>
    </xf>
    <xf numFmtId="164" fontId="31" fillId="0" borderId="0" xfId="0" applyNumberFormat="1" applyFont="1" applyProtection="1">
      <protection hidden="1"/>
    </xf>
    <xf numFmtId="0" fontId="34" fillId="0" borderId="0" xfId="0" applyFont="1" applyProtection="1">
      <protection hidden="1"/>
    </xf>
    <xf numFmtId="0" fontId="34" fillId="0" borderId="0" xfId="0" applyFont="1"/>
    <xf numFmtId="166" fontId="25" fillId="0" borderId="5" xfId="0" applyNumberFormat="1" applyFont="1" applyBorder="1" applyAlignment="1" applyProtection="1">
      <alignment horizontal="center"/>
      <protection hidden="1"/>
    </xf>
    <xf numFmtId="0" fontId="25" fillId="0" borderId="4" xfId="0" applyFont="1" applyBorder="1" applyAlignment="1" applyProtection="1">
      <alignment horizontal="center"/>
      <protection hidden="1"/>
    </xf>
    <xf numFmtId="164" fontId="25" fillId="0" borderId="4" xfId="0" applyNumberFormat="1" applyFont="1" applyBorder="1" applyAlignment="1" applyProtection="1">
      <alignment horizontal="center"/>
      <protection hidden="1"/>
    </xf>
    <xf numFmtId="167" fontId="31" fillId="0" borderId="0" xfId="0" applyNumberFormat="1" applyFont="1" applyAlignment="1" applyProtection="1">
      <alignment horizontal="left"/>
      <protection hidden="1"/>
    </xf>
    <xf numFmtId="0" fontId="18" fillId="3" borderId="0" xfId="0" applyFont="1" applyFill="1" applyAlignment="1">
      <alignment horizontal="center"/>
    </xf>
    <xf numFmtId="0" fontId="35" fillId="0" borderId="0" xfId="0" applyFont="1" applyAlignment="1">
      <alignment horizontal="center" vertical="center" wrapText="1"/>
    </xf>
    <xf numFmtId="164" fontId="4" fillId="2" borderId="0" xfId="0" applyNumberFormat="1" applyFont="1" applyFill="1" applyAlignment="1" applyProtection="1">
      <alignment horizontal="center"/>
      <protection locked="0"/>
    </xf>
    <xf numFmtId="164" fontId="36" fillId="0" borderId="0" xfId="0" applyNumberFormat="1" applyFont="1" applyAlignment="1">
      <alignment horizontal="right" vertical="center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indent="24"/>
    </xf>
    <xf numFmtId="0" fontId="22" fillId="2" borderId="0" xfId="0" applyFont="1" applyFill="1" applyAlignment="1">
      <alignment horizontal="left" indent="12"/>
    </xf>
    <xf numFmtId="0" fontId="4" fillId="0" borderId="0" xfId="0" applyFont="1" applyAlignment="1">
      <alignment horizontal="left" indent="12"/>
    </xf>
    <xf numFmtId="0" fontId="4" fillId="0" borderId="1" xfId="0" applyFont="1" applyBorder="1" applyAlignment="1">
      <alignment horizontal="left" indent="12"/>
    </xf>
    <xf numFmtId="0" fontId="5" fillId="0" borderId="0" xfId="0" applyFont="1" applyAlignment="1">
      <alignment horizontal="left" vertical="center" indent="11"/>
    </xf>
    <xf numFmtId="0" fontId="5" fillId="0" borderId="1" xfId="0" applyFont="1" applyBorder="1" applyAlignment="1">
      <alignment horizontal="left" vertical="center" indent="11"/>
    </xf>
    <xf numFmtId="0" fontId="37" fillId="0" borderId="6" xfId="0" applyFont="1" applyBorder="1"/>
    <xf numFmtId="164" fontId="37" fillId="0" borderId="6" xfId="0" applyNumberFormat="1" applyFont="1" applyBorder="1"/>
    <xf numFmtId="0" fontId="36" fillId="0" borderId="0" xfId="0" applyFont="1" applyAlignment="1">
      <alignment horizontal="left" vertical="center" indent="27"/>
    </xf>
    <xf numFmtId="0" fontId="25" fillId="0" borderId="0" xfId="0" applyFont="1" applyAlignment="1" applyProtection="1">
      <alignment horizontal="center" vertical="top" wrapText="1"/>
      <protection hidden="1"/>
    </xf>
    <xf numFmtId="167" fontId="25" fillId="0" borderId="0" xfId="0" applyNumberFormat="1" applyFont="1" applyAlignment="1" applyProtection="1">
      <alignment horizontal="center"/>
      <protection hidden="1"/>
    </xf>
    <xf numFmtId="43" fontId="25" fillId="0" borderId="3" xfId="0" applyNumberFormat="1" applyFont="1" applyBorder="1" applyAlignment="1" applyProtection="1">
      <alignment horizontal="center"/>
      <protection hidden="1"/>
    </xf>
    <xf numFmtId="166" fontId="0" fillId="0" borderId="0" xfId="0" applyNumberFormat="1"/>
    <xf numFmtId="0" fontId="39" fillId="0" borderId="0" xfId="0" applyFont="1"/>
    <xf numFmtId="0" fontId="40" fillId="0" borderId="0" xfId="0" applyFont="1"/>
    <xf numFmtId="166" fontId="0" fillId="3" borderId="0" xfId="0" applyNumberFormat="1" applyFill="1"/>
    <xf numFmtId="0" fontId="41" fillId="0" borderId="0" xfId="0" applyFont="1"/>
    <xf numFmtId="0" fontId="42" fillId="0" borderId="0" xfId="0" applyFont="1" applyProtection="1">
      <protection hidden="1"/>
    </xf>
    <xf numFmtId="165" fontId="0" fillId="3" borderId="0" xfId="0" applyNumberFormat="1" applyFill="1" applyAlignment="1">
      <alignment horizontal="center"/>
    </xf>
    <xf numFmtId="0" fontId="0" fillId="3" borderId="0" xfId="0" applyFill="1" applyAlignment="1">
      <alignment horizontal="right"/>
    </xf>
    <xf numFmtId="0" fontId="43" fillId="0" borderId="0" xfId="0" applyFont="1"/>
    <xf numFmtId="0" fontId="23" fillId="0" borderId="0" xfId="0" applyFont="1" applyAlignment="1">
      <alignment horizontal="center" vertical="center" wrapText="1"/>
    </xf>
    <xf numFmtId="0" fontId="44" fillId="0" borderId="0" xfId="0" applyFont="1"/>
    <xf numFmtId="0" fontId="45" fillId="2" borderId="0" xfId="0" applyFont="1" applyFill="1"/>
    <xf numFmtId="0" fontId="46" fillId="0" borderId="0" xfId="0" applyFont="1"/>
    <xf numFmtId="0" fontId="3" fillId="0" borderId="0" xfId="2"/>
    <xf numFmtId="0" fontId="45" fillId="3" borderId="0" xfId="0" applyFont="1" applyFill="1"/>
    <xf numFmtId="165" fontId="0" fillId="4" borderId="0" xfId="0" applyNumberFormat="1" applyFill="1"/>
    <xf numFmtId="49" fontId="3" fillId="3" borderId="0" xfId="2" applyNumberFormat="1" applyFill="1" applyBorder="1" applyAlignment="1" applyProtection="1">
      <alignment horizontal="center"/>
      <protection locked="0"/>
    </xf>
    <xf numFmtId="43" fontId="21" fillId="0" borderId="0" xfId="1" applyFont="1" applyFill="1" applyBorder="1" applyAlignment="1" applyProtection="1">
      <alignment horizontal="center"/>
      <protection locked="0"/>
    </xf>
    <xf numFmtId="49" fontId="20" fillId="0" borderId="0" xfId="1" applyNumberFormat="1" applyFont="1" applyFill="1" applyBorder="1" applyAlignment="1" applyProtection="1">
      <alignment horizontal="center"/>
      <protection locked="0"/>
    </xf>
    <xf numFmtId="49" fontId="3" fillId="0" borderId="0" xfId="2" applyNumberFormat="1" applyFill="1" applyBorder="1" applyAlignment="1" applyProtection="1">
      <alignment horizontal="center"/>
      <protection locked="0"/>
    </xf>
    <xf numFmtId="166" fontId="20" fillId="0" borderId="0" xfId="0" applyNumberFormat="1" applyFont="1" applyAlignment="1" applyProtection="1">
      <alignment horizontal="center"/>
      <protection locked="0"/>
    </xf>
    <xf numFmtId="49" fontId="21" fillId="0" borderId="0" xfId="1" applyNumberFormat="1" applyFont="1" applyFill="1" applyBorder="1" applyAlignment="1" applyProtection="1">
      <alignment horizontal="center"/>
      <protection locked="0"/>
    </xf>
    <xf numFmtId="49" fontId="20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Alignment="1">
      <alignment horizontal="left" vertical="center"/>
    </xf>
    <xf numFmtId="0" fontId="4" fillId="0" borderId="8" xfId="0" applyFont="1" applyBorder="1" applyAlignment="1">
      <alignment horizontal="left" indent="24"/>
    </xf>
    <xf numFmtId="165" fontId="4" fillId="0" borderId="8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 indent="24"/>
    </xf>
    <xf numFmtId="165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7" fillId="0" borderId="0" xfId="0" applyFont="1" applyAlignment="1">
      <alignment horizontal="left" indent="27"/>
    </xf>
    <xf numFmtId="164" fontId="47" fillId="0" borderId="0" xfId="0" applyNumberFormat="1" applyFont="1"/>
    <xf numFmtId="0" fontId="49" fillId="0" borderId="0" xfId="0" applyFont="1"/>
    <xf numFmtId="0" fontId="48" fillId="0" borderId="0" xfId="0" applyFont="1"/>
    <xf numFmtId="0" fontId="50" fillId="0" borderId="0" xfId="0" applyFont="1"/>
    <xf numFmtId="164" fontId="50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51" fillId="0" borderId="0" xfId="0" applyFont="1"/>
  </cellXfs>
  <cellStyles count="6">
    <cellStyle name="Comma" xfId="1" builtinId="3"/>
    <cellStyle name="Hyperlink" xfId="2" builtinId="8"/>
    <cellStyle name="Hyperlink 2" xfId="4" xr:uid="{02CFA4FA-EC07-411B-A746-F3453852E02B}"/>
    <cellStyle name="Normal" xfId="0" builtinId="0"/>
    <cellStyle name="Normal 2" xfId="5" xr:uid="{5C561302-8E2C-4138-8051-5D28EF232D54}"/>
    <cellStyle name="Normal 3" xfId="3" xr:uid="{675C8063-4E9A-43EF-A4D2-1E7F47A7C1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68649</xdr:colOff>
      <xdr:row>46</xdr:row>
      <xdr:rowOff>1</xdr:rowOff>
    </xdr:from>
    <xdr:to>
      <xdr:col>1</xdr:col>
      <xdr:colOff>4213311</xdr:colOff>
      <xdr:row>50</xdr:row>
      <xdr:rowOff>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E7EF93-D2EA-4A7F-96EF-423C9479AF43}"/>
            </a:ext>
          </a:extLst>
        </xdr:cNvPr>
        <xdr:cNvSpPr txBox="1"/>
      </xdr:nvSpPr>
      <xdr:spPr>
        <a:xfrm>
          <a:off x="68649" y="9679460"/>
          <a:ext cx="7422635" cy="789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2000" b="0" i="0">
              <a:solidFill>
                <a:schemeClr val="dk1"/>
              </a:solidFill>
              <a:latin typeface="Arial" panose="020B0604020202020204" pitchFamily="34" charset="0"/>
              <a:ea typeface="+mn-lt"/>
              <a:cs typeface="Arial" panose="020B0604020202020204" pitchFamily="34" charset="0"/>
            </a:rPr>
            <a:t>The Courtauld Institute of Art</a:t>
          </a:r>
          <a:r>
            <a:rPr lang="en-US" sz="2000" b="0" i="0" u="none" strike="noStrike">
              <a:solidFill>
                <a:schemeClr val="dk1"/>
              </a:solidFill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, S</a:t>
          </a:r>
          <a:r>
            <a:rPr lang="en-US" sz="2000" b="0" i="0">
              <a:solidFill>
                <a:schemeClr val="dk1"/>
              </a:solidFill>
              <a:latin typeface="Arial" panose="020B0604020202020204" pitchFamily="34" charset="0"/>
              <a:ea typeface="+mn-lt"/>
              <a:cs typeface="Arial" panose="020B0604020202020204" pitchFamily="34" charset="0"/>
            </a:rPr>
            <a:t>omerset House</a:t>
          </a:r>
          <a:r>
            <a:rPr lang="en-US" sz="2000" b="0" i="0" u="none" strike="noStrike">
              <a:solidFill>
                <a:schemeClr val="dk1"/>
              </a:solidFill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, </a:t>
          </a:r>
          <a:r>
            <a:rPr lang="en-US" sz="2000" b="0" i="0">
              <a:solidFill>
                <a:schemeClr val="dk1"/>
              </a:solidFill>
              <a:latin typeface="Arial" panose="020B0604020202020204" pitchFamily="34" charset="0"/>
              <a:ea typeface="+mn-lt"/>
              <a:cs typeface="Arial" panose="020B0604020202020204" pitchFamily="34" charset="0"/>
            </a:rPr>
            <a:t>Strand</a:t>
          </a:r>
          <a:r>
            <a:rPr lang="en-US" sz="2000" b="0" i="0" u="none" strike="noStrike">
              <a:solidFill>
                <a:schemeClr val="dk1"/>
              </a:solidFill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,        </a:t>
          </a:r>
          <a:r>
            <a:rPr lang="en-US" sz="2000" b="0" i="0">
              <a:solidFill>
                <a:schemeClr val="dk1"/>
              </a:solidFill>
              <a:latin typeface="Arial" panose="020B0604020202020204" pitchFamily="34" charset="0"/>
              <a:ea typeface="+mn-lt"/>
              <a:cs typeface="Arial" panose="020B0604020202020204" pitchFamily="34" charset="0"/>
            </a:rPr>
            <a:t>London WC2R 0RN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5373</xdr:rowOff>
    </xdr:from>
    <xdr:to>
      <xdr:col>1</xdr:col>
      <xdr:colOff>1478766</xdr:colOff>
      <xdr:row>10</xdr:row>
      <xdr:rowOff>121781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CE3F7AD-D54B-44CB-9F67-EBDFC2D04E93}"/>
            </a:ext>
          </a:extLst>
        </xdr:cNvPr>
        <xdr:cNvSpPr txBox="1"/>
      </xdr:nvSpPr>
      <xdr:spPr>
        <a:xfrm>
          <a:off x="0" y="840441"/>
          <a:ext cx="2357328" cy="10906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800" b="0" i="0">
              <a:solidFill>
                <a:schemeClr val="dk1"/>
              </a:solidFill>
              <a:latin typeface="+mn-lt"/>
              <a:ea typeface="+mn-lt"/>
              <a:cs typeface="+mn-lt"/>
            </a:rPr>
            <a:t>The Courtauld Institute of Art</a:t>
          </a:r>
          <a:r>
            <a:rPr lang="en-US" sz="18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, S</a:t>
          </a:r>
          <a:r>
            <a:rPr lang="en-US" sz="1800" b="0" i="0">
              <a:solidFill>
                <a:schemeClr val="dk1"/>
              </a:solidFill>
              <a:latin typeface="+mn-lt"/>
              <a:ea typeface="+mn-lt"/>
              <a:cs typeface="+mn-lt"/>
            </a:rPr>
            <a:t>omerset House</a:t>
          </a:r>
          <a:r>
            <a:rPr lang="en-US" sz="18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, </a:t>
          </a:r>
          <a:r>
            <a:rPr lang="en-US" sz="1800" b="0" i="0">
              <a:solidFill>
                <a:schemeClr val="dk1"/>
              </a:solidFill>
              <a:latin typeface="+mn-lt"/>
              <a:ea typeface="+mn-lt"/>
              <a:cs typeface="+mn-lt"/>
            </a:rPr>
            <a:t>Strand</a:t>
          </a:r>
          <a:r>
            <a:rPr lang="en-US" sz="18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, </a:t>
          </a:r>
          <a:r>
            <a:rPr lang="en-US" sz="1800" b="0" i="0">
              <a:solidFill>
                <a:schemeClr val="dk1"/>
              </a:solidFill>
              <a:latin typeface="+mn-lt"/>
              <a:ea typeface="+mn-lt"/>
              <a:cs typeface="+mn-lt"/>
            </a:rPr>
            <a:t>London WC2R 0RN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ichael.l.mckeague@gmail.com" TargetMode="External"/><Relationship Id="rId1" Type="http://schemas.openxmlformats.org/officeDocument/2006/relationships/hyperlink" Target="https://courtauld.ac.uk/explore-our-courses/tuition-fees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77B6-9816-475D-B243-071925EFA958}">
  <sheetPr>
    <pageSetUpPr fitToPage="1"/>
  </sheetPr>
  <dimension ref="A1:H60"/>
  <sheetViews>
    <sheetView zoomScale="74" zoomScaleNormal="100" workbookViewId="0">
      <selection activeCell="B55" sqref="B55"/>
    </sheetView>
  </sheetViews>
  <sheetFormatPr defaultRowHeight="14.5" x14ac:dyDescent="0.35"/>
  <cols>
    <col min="1" max="1" width="46.90625" customWidth="1"/>
    <col min="2" max="2" width="60.6328125" customWidth="1"/>
  </cols>
  <sheetData>
    <row r="1" spans="1:8" ht="59" x14ac:dyDescent="1.1499999999999999">
      <c r="A1" s="58" t="str">
        <f>'Cost of Attendance'!C63&amp;"  "&amp;'Cost of Attendance'!C62</f>
        <v>Surname  Forename</v>
      </c>
      <c r="B1" s="143" t="s">
        <v>152</v>
      </c>
      <c r="C1" s="57"/>
      <c r="D1" s="57"/>
      <c r="E1" s="57"/>
      <c r="F1" s="57"/>
      <c r="G1" s="57"/>
    </row>
    <row r="2" spans="1:8" x14ac:dyDescent="0.35">
      <c r="A2" s="59" t="str">
        <f>'Cost of Attendance'!C64</f>
        <v>Add 1</v>
      </c>
      <c r="B2" s="56"/>
      <c r="C2" s="57"/>
      <c r="D2" s="57"/>
      <c r="E2" s="57"/>
      <c r="F2" s="57"/>
      <c r="G2" s="57"/>
    </row>
    <row r="3" spans="1:8" x14ac:dyDescent="0.35">
      <c r="A3" s="59" t="str">
        <f>'Cost of Attendance'!C65</f>
        <v>Add 2</v>
      </c>
      <c r="B3" s="56"/>
      <c r="C3" s="57"/>
      <c r="D3" s="57"/>
      <c r="E3" s="57"/>
      <c r="F3" s="57"/>
      <c r="G3" s="57"/>
    </row>
    <row r="4" spans="1:8" x14ac:dyDescent="0.35">
      <c r="A4" s="59" t="str">
        <f>'Cost of Attendance'!C66</f>
        <v>Add 3</v>
      </c>
      <c r="B4" s="56"/>
      <c r="C4" s="57"/>
      <c r="D4" s="57"/>
      <c r="E4" s="57"/>
      <c r="F4" s="57"/>
      <c r="G4" s="57"/>
    </row>
    <row r="5" spans="1:8" x14ac:dyDescent="0.35">
      <c r="A5" s="59" t="str">
        <f>'Cost of Attendance'!C67</f>
        <v>Add 4</v>
      </c>
      <c r="B5" s="56"/>
      <c r="C5" s="57"/>
      <c r="D5" s="57"/>
      <c r="E5" s="57"/>
      <c r="F5" s="57"/>
      <c r="G5" s="57"/>
    </row>
    <row r="6" spans="1:8" x14ac:dyDescent="0.35">
      <c r="A6" s="59" t="str">
        <f>'Cost of Attendance'!C68</f>
        <v>Zipcode</v>
      </c>
      <c r="B6" s="56"/>
      <c r="C6" s="57"/>
      <c r="D6" s="57"/>
      <c r="E6" s="57"/>
      <c r="F6" s="57"/>
      <c r="G6" s="57"/>
    </row>
    <row r="7" spans="1:8" x14ac:dyDescent="0.35">
      <c r="A7" s="56"/>
      <c r="B7" s="56"/>
      <c r="C7" s="57"/>
      <c r="D7" s="57"/>
      <c r="E7" s="57"/>
      <c r="F7" s="57"/>
      <c r="G7" s="57"/>
    </row>
    <row r="8" spans="1:8" x14ac:dyDescent="0.35">
      <c r="A8" s="56"/>
      <c r="B8" s="56"/>
      <c r="C8" s="57"/>
      <c r="D8" s="57"/>
      <c r="E8" s="57"/>
      <c r="F8" s="57"/>
      <c r="G8" s="57"/>
    </row>
    <row r="9" spans="1:8" x14ac:dyDescent="0.35">
      <c r="A9" s="56"/>
      <c r="B9" s="56"/>
      <c r="C9" s="57"/>
      <c r="D9" s="57"/>
      <c r="E9" s="57"/>
      <c r="F9" s="57"/>
      <c r="G9" s="57"/>
    </row>
    <row r="10" spans="1:8" ht="22.5" x14ac:dyDescent="0.45">
      <c r="A10" s="60" t="s">
        <v>63</v>
      </c>
      <c r="B10" s="56"/>
      <c r="C10" s="57"/>
      <c r="D10" s="57"/>
      <c r="E10" s="57"/>
      <c r="F10" s="57"/>
      <c r="G10" s="57"/>
    </row>
    <row r="11" spans="1:8" ht="25" x14ac:dyDescent="0.5">
      <c r="A11" s="111" t="str">
        <f>Data!B2&amp;"  "&amp;Data!C2</f>
        <v>Academic Year  2026/27</v>
      </c>
      <c r="B11" s="56"/>
      <c r="C11" s="57"/>
      <c r="D11" s="57"/>
      <c r="E11" s="57"/>
      <c r="F11" s="57"/>
      <c r="G11" s="57"/>
    </row>
    <row r="12" spans="1:8" x14ac:dyDescent="0.35">
      <c r="A12" s="56"/>
      <c r="B12" s="56"/>
      <c r="C12" s="57"/>
      <c r="D12" s="57"/>
      <c r="E12" s="57"/>
      <c r="F12" s="57"/>
      <c r="G12" s="57"/>
    </row>
    <row r="13" spans="1:8" ht="18" x14ac:dyDescent="0.4">
      <c r="A13" s="61" t="s">
        <v>64</v>
      </c>
      <c r="B13" s="56"/>
      <c r="C13" s="57"/>
      <c r="D13" s="57"/>
      <c r="E13" s="57"/>
      <c r="F13" s="57"/>
      <c r="G13" s="57"/>
    </row>
    <row r="14" spans="1:8" x14ac:dyDescent="0.35">
      <c r="A14" s="56"/>
      <c r="B14" s="56"/>
      <c r="C14" s="57"/>
      <c r="D14" s="57"/>
      <c r="E14" s="57"/>
      <c r="F14" s="57"/>
      <c r="G14" s="57"/>
    </row>
    <row r="15" spans="1:8" ht="15.5" x14ac:dyDescent="0.35">
      <c r="A15" s="62" t="s">
        <v>65</v>
      </c>
      <c r="B15" s="105" t="str">
        <f>A1</f>
        <v>Surname  Forename</v>
      </c>
      <c r="C15" s="63"/>
      <c r="D15" s="63"/>
      <c r="E15" s="63"/>
      <c r="F15" s="63"/>
      <c r="G15" s="63"/>
      <c r="H15" s="64"/>
    </row>
    <row r="16" spans="1:8" ht="15.5" x14ac:dyDescent="0.35">
      <c r="A16" s="62" t="s">
        <v>66</v>
      </c>
      <c r="B16" s="65" t="str">
        <f>'Cost of Attendance'!C70</f>
        <v>D.O.B</v>
      </c>
      <c r="C16" s="63"/>
      <c r="D16" s="63"/>
      <c r="E16" s="63"/>
      <c r="F16" s="63"/>
      <c r="G16" s="63"/>
      <c r="H16" s="64"/>
    </row>
    <row r="17" spans="1:8" ht="15.5" x14ac:dyDescent="0.35">
      <c r="A17" s="62" t="s">
        <v>94</v>
      </c>
      <c r="B17" s="65" t="str">
        <f>'Cost of Attendance'!C71</f>
        <v>SSN</v>
      </c>
      <c r="C17" s="63"/>
      <c r="D17" s="63"/>
      <c r="E17" s="63"/>
      <c r="F17" s="63"/>
      <c r="G17" s="63"/>
      <c r="H17" s="64"/>
    </row>
    <row r="18" spans="1:8" ht="15.5" x14ac:dyDescent="0.35">
      <c r="A18" s="62" t="s">
        <v>95</v>
      </c>
      <c r="B18" s="65" t="str">
        <f>'Cost of Attendance'!C73</f>
        <v>Course</v>
      </c>
      <c r="C18" s="63"/>
      <c r="D18" s="63"/>
      <c r="E18" s="63"/>
      <c r="F18" s="63"/>
      <c r="G18" s="63"/>
      <c r="H18" s="64"/>
    </row>
    <row r="19" spans="1:8" ht="15.5" x14ac:dyDescent="0.35">
      <c r="A19" s="103"/>
      <c r="B19" s="104"/>
      <c r="C19" s="63"/>
      <c r="D19" s="63"/>
      <c r="E19" s="63"/>
      <c r="F19" s="63"/>
      <c r="G19" s="63"/>
      <c r="H19" s="64"/>
    </row>
    <row r="20" spans="1:8" ht="15.5" x14ac:dyDescent="0.35">
      <c r="A20" s="66" t="s">
        <v>67</v>
      </c>
      <c r="B20" s="66"/>
      <c r="C20" s="67"/>
      <c r="D20" s="67"/>
      <c r="E20" s="67"/>
      <c r="F20" s="67"/>
      <c r="G20" s="67"/>
      <c r="H20" s="68"/>
    </row>
    <row r="21" spans="1:8" ht="15.5" x14ac:dyDescent="0.35">
      <c r="A21" s="66"/>
      <c r="B21" s="66"/>
      <c r="C21" s="67"/>
      <c r="D21" s="67"/>
      <c r="E21" s="67"/>
      <c r="F21" s="67"/>
      <c r="G21" s="67"/>
      <c r="H21" s="68"/>
    </row>
    <row r="22" spans="1:8" ht="15.5" x14ac:dyDescent="0.35">
      <c r="A22" s="66" t="s">
        <v>68</v>
      </c>
      <c r="B22" s="66"/>
      <c r="C22" s="67"/>
      <c r="D22" s="67"/>
      <c r="E22" s="67"/>
      <c r="F22" s="67"/>
      <c r="G22" s="67"/>
      <c r="H22" s="68"/>
    </row>
    <row r="23" spans="1:8" ht="15.5" x14ac:dyDescent="0.35">
      <c r="A23" s="66" t="s">
        <v>69</v>
      </c>
      <c r="B23" s="66"/>
      <c r="C23" s="67"/>
      <c r="D23" s="67"/>
      <c r="E23" s="67"/>
      <c r="F23" s="67"/>
      <c r="G23" s="67"/>
      <c r="H23" s="68"/>
    </row>
    <row r="24" spans="1:8" ht="15.5" x14ac:dyDescent="0.35">
      <c r="A24" s="66" t="s">
        <v>70</v>
      </c>
      <c r="B24" s="66"/>
      <c r="C24" s="67"/>
      <c r="D24" s="67"/>
      <c r="E24" s="67"/>
      <c r="F24" s="67"/>
      <c r="G24" s="67"/>
      <c r="H24" s="68"/>
    </row>
    <row r="25" spans="1:8" ht="15.5" x14ac:dyDescent="0.35">
      <c r="A25" s="66" t="s">
        <v>141</v>
      </c>
      <c r="B25" s="66"/>
      <c r="C25" s="66"/>
      <c r="D25" s="66"/>
      <c r="E25" s="66"/>
      <c r="F25" s="66"/>
      <c r="G25" s="66"/>
      <c r="H25" s="69"/>
    </row>
    <row r="26" spans="1:8" ht="15.5" x14ac:dyDescent="0.35">
      <c r="A26" s="66"/>
      <c r="B26" s="66"/>
      <c r="C26" s="67"/>
      <c r="D26" s="67"/>
      <c r="E26" s="67"/>
      <c r="F26" s="67"/>
      <c r="G26" s="67"/>
      <c r="H26" s="68"/>
    </row>
    <row r="27" spans="1:8" ht="15.5" x14ac:dyDescent="0.35">
      <c r="A27" s="66" t="s">
        <v>71</v>
      </c>
      <c r="B27" s="66"/>
      <c r="C27" s="67"/>
      <c r="D27" s="67"/>
      <c r="E27" s="67"/>
      <c r="F27" s="67"/>
      <c r="G27" s="67"/>
      <c r="H27" s="68"/>
    </row>
    <row r="28" spans="1:8" ht="15.5" x14ac:dyDescent="0.35">
      <c r="A28" s="70" t="s">
        <v>72</v>
      </c>
      <c r="B28" s="71">
        <f>Data!E20</f>
        <v>46286</v>
      </c>
      <c r="C28" s="72"/>
      <c r="D28" s="72"/>
      <c r="E28" s="72"/>
      <c r="F28" s="72"/>
      <c r="G28" s="72"/>
      <c r="H28" s="73"/>
    </row>
    <row r="29" spans="1:8" ht="15.5" x14ac:dyDescent="0.35">
      <c r="A29" s="70" t="s">
        <v>73</v>
      </c>
      <c r="B29" s="71">
        <f>Data!E21</f>
        <v>46568</v>
      </c>
      <c r="C29" s="72"/>
      <c r="D29" s="72"/>
      <c r="E29" s="72"/>
      <c r="F29" s="72"/>
      <c r="G29" s="72"/>
      <c r="H29" s="73"/>
    </row>
    <row r="30" spans="1:8" x14ac:dyDescent="0.35">
      <c r="A30" s="56"/>
      <c r="B30" s="56"/>
      <c r="C30" s="57"/>
      <c r="D30" s="57"/>
      <c r="E30" s="57"/>
      <c r="F30" s="57"/>
      <c r="G30" s="57"/>
    </row>
    <row r="31" spans="1:8" ht="15.5" x14ac:dyDescent="0.35">
      <c r="A31" s="66" t="s">
        <v>96</v>
      </c>
      <c r="B31" s="56"/>
      <c r="C31" s="57"/>
      <c r="D31" s="57"/>
      <c r="E31" s="57"/>
      <c r="F31" s="57"/>
      <c r="G31" s="57"/>
    </row>
    <row r="32" spans="1:8" ht="15.5" x14ac:dyDescent="0.35">
      <c r="A32" s="69" t="s">
        <v>74</v>
      </c>
      <c r="B32" s="66"/>
      <c r="C32" s="66"/>
      <c r="D32" s="66"/>
      <c r="E32" s="66"/>
      <c r="F32" s="66"/>
      <c r="G32" s="66"/>
      <c r="H32" s="69"/>
    </row>
    <row r="33" spans="1:8" ht="15.5" x14ac:dyDescent="0.35">
      <c r="A33" s="62" t="s">
        <v>75</v>
      </c>
      <c r="B33" s="70" t="s">
        <v>76</v>
      </c>
      <c r="C33" s="63"/>
      <c r="D33" s="63"/>
      <c r="E33" s="63"/>
      <c r="F33" s="63"/>
      <c r="G33" s="63"/>
      <c r="H33" s="64"/>
    </row>
    <row r="34" spans="1:8" ht="15.5" x14ac:dyDescent="0.35">
      <c r="A34" s="62" t="s">
        <v>77</v>
      </c>
      <c r="B34" s="74">
        <f>'Cost of Attendance'!D51</f>
        <v>0</v>
      </c>
      <c r="C34" s="63"/>
      <c r="D34" s="63"/>
      <c r="E34" s="63"/>
      <c r="F34" s="63"/>
      <c r="G34" s="63"/>
      <c r="H34" s="64"/>
    </row>
    <row r="35" spans="1:8" ht="15.5" x14ac:dyDescent="0.35">
      <c r="A35" s="62" t="s">
        <v>78</v>
      </c>
      <c r="B35" s="74" t="str">
        <f>'Cost of Attendance'!D52</f>
        <v>$0</v>
      </c>
      <c r="C35" s="63"/>
      <c r="D35" s="63"/>
      <c r="E35" s="63"/>
      <c r="F35" s="63"/>
      <c r="G35" s="63"/>
      <c r="H35" s="64"/>
    </row>
    <row r="36" spans="1:8" ht="15.5" x14ac:dyDescent="0.35">
      <c r="A36" s="62" t="s">
        <v>79</v>
      </c>
      <c r="B36" s="74">
        <f>'Cost of Attendance'!D53</f>
        <v>0</v>
      </c>
      <c r="C36" s="63"/>
      <c r="D36" s="63"/>
      <c r="E36" s="63"/>
      <c r="F36" s="63"/>
      <c r="G36" s="63"/>
      <c r="H36" s="64"/>
    </row>
    <row r="37" spans="1:8" ht="16" thickBot="1" x14ac:dyDescent="0.4">
      <c r="A37" s="75" t="s">
        <v>80</v>
      </c>
      <c r="B37" s="74">
        <f>'Cost of Attendance'!D54</f>
        <v>0</v>
      </c>
      <c r="C37" s="63"/>
      <c r="D37" s="63"/>
      <c r="E37" s="63"/>
      <c r="F37" s="63"/>
      <c r="G37" s="63"/>
      <c r="H37" s="64"/>
    </row>
    <row r="38" spans="1:8" ht="15" thickTop="1" x14ac:dyDescent="0.35">
      <c r="A38" s="56"/>
      <c r="B38" s="76"/>
      <c r="C38" s="57"/>
      <c r="D38" s="57"/>
      <c r="E38" s="57"/>
      <c r="F38" s="57"/>
      <c r="G38" s="57"/>
    </row>
    <row r="39" spans="1:8" ht="15.5" x14ac:dyDescent="0.35">
      <c r="A39" s="66" t="s">
        <v>81</v>
      </c>
      <c r="B39" s="77"/>
      <c r="C39" s="67"/>
      <c r="D39" s="67"/>
      <c r="E39" s="67"/>
      <c r="F39" s="67"/>
      <c r="G39" s="67"/>
      <c r="H39" s="68"/>
    </row>
    <row r="40" spans="1:8" ht="15.5" x14ac:dyDescent="0.35">
      <c r="A40" s="71">
        <f>IF((Data!B53&gt;1),Data!B53,"")</f>
        <v>46300</v>
      </c>
      <c r="B40" s="74">
        <f>SUM(B37/3)</f>
        <v>0</v>
      </c>
      <c r="C40" s="78"/>
      <c r="D40" s="78"/>
      <c r="E40" s="78"/>
      <c r="F40" s="78"/>
      <c r="G40" s="78"/>
      <c r="H40" s="79"/>
    </row>
    <row r="41" spans="1:8" ht="15.5" x14ac:dyDescent="0.35">
      <c r="A41" s="71">
        <f>IF((Data!B54&gt;1),Data!B54,"")</f>
        <v>46426</v>
      </c>
      <c r="B41" s="74">
        <f>SUM(B37/3)</f>
        <v>0</v>
      </c>
      <c r="C41" s="78"/>
      <c r="D41" s="78"/>
      <c r="E41" s="78"/>
      <c r="F41" s="78"/>
      <c r="G41" s="78"/>
      <c r="H41" s="79"/>
    </row>
    <row r="42" spans="1:8" ht="15.5" x14ac:dyDescent="0.35">
      <c r="A42" s="71">
        <f>IF((Data!B55&gt;1),Data!B55,"")</f>
        <v>46506</v>
      </c>
      <c r="B42" s="74">
        <f>SUM(B37-B40-B41)</f>
        <v>0</v>
      </c>
      <c r="C42" s="78"/>
      <c r="D42" s="78"/>
      <c r="E42" s="78"/>
      <c r="F42" s="78"/>
      <c r="G42" s="78"/>
      <c r="H42" s="79"/>
    </row>
    <row r="43" spans="1:8" ht="15.5" x14ac:dyDescent="0.35">
      <c r="A43" s="71" t="str">
        <f>IF((Data!B56&gt;1),Data!B56,"")</f>
        <v/>
      </c>
      <c r="B43" s="74" t="str">
        <f>IF((Data!C56&gt;1),Data!C56,"")</f>
        <v/>
      </c>
      <c r="C43" s="78"/>
      <c r="D43" s="78"/>
      <c r="E43" s="78"/>
      <c r="F43" s="78"/>
      <c r="G43" s="78"/>
      <c r="H43" s="79"/>
    </row>
    <row r="44" spans="1:8" ht="15.5" x14ac:dyDescent="0.35">
      <c r="A44" s="80" t="s">
        <v>82</v>
      </c>
      <c r="B44" s="74">
        <f>(SUM(B40:B43))-B37</f>
        <v>0</v>
      </c>
      <c r="C44" s="78"/>
      <c r="D44" s="78"/>
      <c r="E44" s="78"/>
      <c r="F44" s="78"/>
      <c r="G44" s="78"/>
      <c r="H44" s="79"/>
    </row>
    <row r="45" spans="1:8" ht="16" thickBot="1" x14ac:dyDescent="0.4">
      <c r="A45" s="81" t="s">
        <v>80</v>
      </c>
      <c r="B45" s="82">
        <f>SUM(B40:B44)</f>
        <v>0</v>
      </c>
      <c r="C45" s="78"/>
      <c r="D45" s="78"/>
      <c r="E45" s="78"/>
      <c r="F45" s="78"/>
      <c r="G45" s="78"/>
      <c r="H45" s="79"/>
    </row>
    <row r="46" spans="1:8" ht="15" thickTop="1" x14ac:dyDescent="0.35">
      <c r="A46" s="56"/>
      <c r="B46" s="56"/>
      <c r="C46" s="57"/>
      <c r="D46" s="57"/>
      <c r="E46" s="57"/>
      <c r="F46" s="57"/>
      <c r="G46" s="57"/>
    </row>
    <row r="47" spans="1:8" ht="15.5" x14ac:dyDescent="0.35">
      <c r="A47" s="66"/>
      <c r="B47" s="66"/>
      <c r="C47" s="67"/>
      <c r="D47" s="67"/>
      <c r="E47" s="67"/>
      <c r="F47" s="67"/>
      <c r="G47" s="67"/>
      <c r="H47" s="68"/>
    </row>
    <row r="48" spans="1:8" ht="15.5" x14ac:dyDescent="0.35">
      <c r="A48" s="66"/>
      <c r="B48" s="66"/>
      <c r="C48" s="67"/>
      <c r="D48" s="67"/>
      <c r="E48" s="67"/>
      <c r="F48" s="67"/>
      <c r="G48" s="67"/>
      <c r="H48" s="68"/>
    </row>
    <row r="49" spans="1:8" ht="15.5" x14ac:dyDescent="0.35">
      <c r="A49" s="66"/>
      <c r="B49" s="66"/>
      <c r="C49" s="67"/>
      <c r="D49" s="67"/>
      <c r="E49" s="67"/>
      <c r="F49" s="67"/>
      <c r="G49" s="67"/>
      <c r="H49" s="68"/>
    </row>
    <row r="50" spans="1:8" ht="15.5" x14ac:dyDescent="0.35">
      <c r="A50" s="69"/>
      <c r="B50" s="66"/>
      <c r="C50" s="67"/>
      <c r="D50" s="67"/>
      <c r="E50" s="67"/>
      <c r="F50" s="67"/>
      <c r="G50" s="67"/>
      <c r="H50" s="68"/>
    </row>
    <row r="51" spans="1:8" ht="15.5" x14ac:dyDescent="0.35">
      <c r="A51" s="66" t="str">
        <f>Data!B60</f>
        <v>KA</v>
      </c>
      <c r="B51" s="66"/>
      <c r="C51" s="67"/>
      <c r="D51" s="67"/>
      <c r="E51" s="67"/>
      <c r="F51" s="67"/>
      <c r="G51" s="67"/>
      <c r="H51" s="68"/>
    </row>
    <row r="52" spans="1:8" ht="15.5" x14ac:dyDescent="0.35">
      <c r="A52" s="66" t="str">
        <f>Data!B61</f>
        <v>AH</v>
      </c>
      <c r="B52" s="66"/>
      <c r="C52" s="67"/>
      <c r="D52" s="67"/>
      <c r="E52" s="67"/>
      <c r="F52" s="67"/>
      <c r="G52" s="67"/>
      <c r="H52" s="68"/>
    </row>
    <row r="53" spans="1:8" ht="15.5" x14ac:dyDescent="0.35">
      <c r="A53" s="66" t="str">
        <f>Data!B62</f>
        <v>RB</v>
      </c>
      <c r="B53" s="66"/>
      <c r="C53" s="67"/>
      <c r="D53" s="67"/>
      <c r="E53" s="67"/>
      <c r="F53" s="67"/>
      <c r="G53" s="67"/>
      <c r="H53" s="68"/>
    </row>
    <row r="54" spans="1:8" ht="15.5" x14ac:dyDescent="0.35">
      <c r="A54" s="66" t="str">
        <f>Data!B63</f>
        <v>IBM</v>
      </c>
      <c r="B54" s="66"/>
      <c r="C54" s="67"/>
      <c r="D54" s="67"/>
      <c r="E54" s="67"/>
      <c r="F54" s="67"/>
      <c r="G54" s="67"/>
      <c r="H54" s="68"/>
    </row>
    <row r="55" spans="1:8" ht="15.5" x14ac:dyDescent="0.35">
      <c r="A55" s="66" t="str">
        <f>Data!B64</f>
        <v>DH</v>
      </c>
      <c r="B55" s="69"/>
      <c r="C55" s="67"/>
      <c r="D55" s="67"/>
      <c r="E55" s="67"/>
      <c r="F55" s="67"/>
      <c r="G55" s="67"/>
      <c r="H55" s="68"/>
    </row>
    <row r="56" spans="1:8" ht="15.5" x14ac:dyDescent="0.35">
      <c r="A56" s="66"/>
      <c r="B56" s="66"/>
      <c r="C56" s="67"/>
      <c r="D56" s="67"/>
      <c r="E56" s="67"/>
      <c r="F56" s="67"/>
      <c r="G56" s="67"/>
      <c r="H56" s="68"/>
    </row>
    <row r="57" spans="1:8" ht="15.5" x14ac:dyDescent="0.35">
      <c r="A57" s="69"/>
      <c r="B57" s="66"/>
      <c r="C57" s="67"/>
      <c r="D57" s="67"/>
      <c r="E57" s="67"/>
      <c r="F57" s="67"/>
      <c r="G57" s="67"/>
      <c r="H57" s="68"/>
    </row>
    <row r="58" spans="1:8" ht="15.5" x14ac:dyDescent="0.35">
      <c r="A58" s="69"/>
      <c r="B58" s="66"/>
      <c r="C58" s="67"/>
      <c r="D58" s="67"/>
      <c r="E58" s="67"/>
      <c r="F58" s="67"/>
      <c r="G58" s="67"/>
      <c r="H58" s="68"/>
    </row>
    <row r="59" spans="1:8" ht="15.5" x14ac:dyDescent="0.35">
      <c r="A59" s="69" t="s">
        <v>83</v>
      </c>
      <c r="B59" s="83">
        <f ca="1">TODAY()</f>
        <v>46204</v>
      </c>
      <c r="C59" s="57"/>
      <c r="D59" s="57"/>
      <c r="E59" s="57"/>
      <c r="F59" s="57"/>
      <c r="G59" s="57"/>
    </row>
    <row r="60" spans="1:8" ht="15.5" x14ac:dyDescent="0.35">
      <c r="A60" s="66"/>
      <c r="B60" s="56"/>
      <c r="C60" s="57"/>
      <c r="D60" s="57"/>
      <c r="E60" s="57"/>
      <c r="F60" s="57"/>
      <c r="G60" s="57"/>
    </row>
  </sheetData>
  <phoneticPr fontId="38" type="noConversion"/>
  <pageMargins left="0.7" right="0.7" top="0.75" bottom="0.75" header="0.3" footer="0.3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DB8EC-43A4-4F78-8450-30CE6FA9FBD1}">
  <sheetPr>
    <pageSetUpPr fitToPage="1"/>
  </sheetPr>
  <dimension ref="A1:J85"/>
  <sheetViews>
    <sheetView tabSelected="1" topLeftCell="A55" zoomScale="73" zoomScaleNormal="115" workbookViewId="0">
      <selection activeCell="G74" sqref="G74"/>
    </sheetView>
  </sheetViews>
  <sheetFormatPr defaultRowHeight="14.5" x14ac:dyDescent="0.35"/>
  <cols>
    <col min="1" max="1" width="12.54296875" bestFit="1" customWidth="1"/>
    <col min="2" max="2" width="23.54296875" customWidth="1"/>
    <col min="3" max="3" width="74.453125" customWidth="1"/>
    <col min="4" max="4" width="9.36328125" style="2" bestFit="1" customWidth="1"/>
    <col min="5" max="5" width="10.90625" bestFit="1" customWidth="1"/>
    <col min="6" max="6" width="12" bestFit="1" customWidth="1"/>
  </cols>
  <sheetData>
    <row r="1" spans="1:8" ht="22.5" x14ac:dyDescent="0.45">
      <c r="A1" s="1"/>
      <c r="B1" s="1"/>
      <c r="C1" s="118" t="s">
        <v>32</v>
      </c>
      <c r="D1" s="24"/>
      <c r="E1" s="1"/>
      <c r="F1" s="1"/>
      <c r="G1" s="1"/>
      <c r="H1" s="1"/>
    </row>
    <row r="2" spans="1:8" x14ac:dyDescent="0.35">
      <c r="A2" s="1"/>
      <c r="B2" s="1"/>
      <c r="C2" s="25" t="s">
        <v>117</v>
      </c>
      <c r="D2" s="24"/>
      <c r="E2" s="1"/>
      <c r="F2" s="1"/>
      <c r="G2" s="1"/>
      <c r="H2" s="1"/>
    </row>
    <row r="3" spans="1:8" x14ac:dyDescent="0.35">
      <c r="A3" s="1"/>
      <c r="B3" s="1"/>
      <c r="C3" s="25" t="s">
        <v>33</v>
      </c>
      <c r="D3" s="24"/>
      <c r="F3" s="1"/>
      <c r="G3" s="1"/>
      <c r="H3" s="1"/>
    </row>
    <row r="4" spans="1:8" x14ac:dyDescent="0.35">
      <c r="A4" s="1"/>
      <c r="B4" s="1"/>
      <c r="C4" s="25" t="s">
        <v>118</v>
      </c>
      <c r="D4" s="24"/>
      <c r="F4" s="1"/>
      <c r="G4" s="1"/>
      <c r="H4" s="1"/>
    </row>
    <row r="5" spans="1:8" x14ac:dyDescent="0.35">
      <c r="A5" s="1"/>
      <c r="B5" s="1"/>
      <c r="C5" s="25"/>
      <c r="D5" s="46"/>
      <c r="E5" s="46"/>
      <c r="F5" s="1"/>
      <c r="G5" s="1"/>
      <c r="H5" s="1"/>
    </row>
    <row r="6" spans="1:8" s="32" customFormat="1" ht="12.5" x14ac:dyDescent="0.25">
      <c r="C6" s="32" t="s">
        <v>1</v>
      </c>
      <c r="D6" s="33" t="str">
        <f>Data!C2</f>
        <v>2026/27</v>
      </c>
    </row>
    <row r="7" spans="1:8" s="32" customFormat="1" ht="12.5" x14ac:dyDescent="0.25">
      <c r="C7" s="32" t="s">
        <v>2</v>
      </c>
      <c r="D7" s="33">
        <f>Data!D5</f>
        <v>1.41</v>
      </c>
    </row>
    <row r="8" spans="1:8" s="32" customFormat="1" ht="12.5" x14ac:dyDescent="0.25">
      <c r="D8" s="33"/>
    </row>
    <row r="9" spans="1:8" s="32" customFormat="1" ht="12.5" x14ac:dyDescent="0.25">
      <c r="D9" s="33"/>
    </row>
    <row r="10" spans="1:8" s="32" customFormat="1" ht="13" x14ac:dyDescent="0.3">
      <c r="C10" s="120" t="s">
        <v>119</v>
      </c>
      <c r="D10" s="33"/>
    </row>
    <row r="11" spans="1:8" s="32" customFormat="1" ht="12.5" x14ac:dyDescent="0.25">
      <c r="C11" s="32" t="s">
        <v>3</v>
      </c>
      <c r="D11" s="33"/>
    </row>
    <row r="12" spans="1:8" s="32" customFormat="1" ht="12.5" x14ac:dyDescent="0.25">
      <c r="C12" s="32" t="s">
        <v>4</v>
      </c>
      <c r="D12" s="47"/>
    </row>
    <row r="13" spans="1:8" s="32" customFormat="1" ht="12.5" x14ac:dyDescent="0.25">
      <c r="C13" s="32" t="s">
        <v>51</v>
      </c>
      <c r="D13" s="48"/>
    </row>
    <row r="14" spans="1:8" s="32" customFormat="1" ht="20" x14ac:dyDescent="0.4">
      <c r="C14" s="119" t="s">
        <v>153</v>
      </c>
      <c r="D14" s="45"/>
      <c r="F14" s="116"/>
    </row>
    <row r="15" spans="1:8" s="32" customFormat="1" ht="12.5" x14ac:dyDescent="0.25">
      <c r="D15" s="33"/>
    </row>
    <row r="16" spans="1:8" s="32" customFormat="1" ht="20" x14ac:dyDescent="0.4">
      <c r="C16" s="45" t="s">
        <v>109</v>
      </c>
      <c r="D16" s="36" t="s">
        <v>25</v>
      </c>
      <c r="E16" s="35" t="s">
        <v>24</v>
      </c>
    </row>
    <row r="17" spans="1:6" s="32" customFormat="1" ht="12.5" x14ac:dyDescent="0.25">
      <c r="A17" s="138"/>
      <c r="B17" s="138">
        <f>D12</f>
        <v>0</v>
      </c>
      <c r="C17" s="37" t="str">
        <f>Data!B7</f>
        <v>Tuition</v>
      </c>
      <c r="D17" s="38">
        <f>D13</f>
        <v>0</v>
      </c>
      <c r="E17" s="43">
        <f>SUM(D17*D7)</f>
        <v>0</v>
      </c>
      <c r="F17" s="43"/>
    </row>
    <row r="18" spans="1:6" s="32" customFormat="1" ht="12.5" x14ac:dyDescent="0.25">
      <c r="A18" s="138"/>
      <c r="B18" s="138">
        <f>B17</f>
        <v>0</v>
      </c>
      <c r="C18" s="37" t="str">
        <f>Data!B8</f>
        <v>Room</v>
      </c>
      <c r="D18" s="38">
        <f>IF((B18="Y"),Data!E8,Data!G8)</f>
        <v>15000</v>
      </c>
      <c r="E18" s="43">
        <f>IF((B18="Y"),Data!I8,Data!J8)</f>
        <v>21150</v>
      </c>
      <c r="F18" s="43"/>
    </row>
    <row r="19" spans="1:6" s="32" customFormat="1" ht="12.5" x14ac:dyDescent="0.25">
      <c r="A19" s="138"/>
      <c r="B19" s="138">
        <f t="shared" ref="B19:B22" si="0">B18</f>
        <v>0</v>
      </c>
      <c r="C19" s="37" t="str">
        <f>Data!B9</f>
        <v>Board</v>
      </c>
      <c r="D19" s="38">
        <f>IF((B19="Y"),Data!E9,Data!G9)</f>
        <v>2000</v>
      </c>
      <c r="E19" s="43">
        <f>IF((B19="Y"),Data!I9,Data!J9)</f>
        <v>2820</v>
      </c>
      <c r="F19" s="43"/>
    </row>
    <row r="20" spans="1:6" s="32" customFormat="1" ht="12.5" x14ac:dyDescent="0.25">
      <c r="A20" s="138"/>
      <c r="B20" s="138">
        <f t="shared" si="0"/>
        <v>0</v>
      </c>
      <c r="C20" s="37" t="str">
        <f>Data!B10</f>
        <v>Books</v>
      </c>
      <c r="D20" s="38">
        <f>IF((B20="Y"),Data!E10,Data!G10)</f>
        <v>3000</v>
      </c>
      <c r="E20" s="43">
        <f>IF((B20="Y"),Data!I10,Data!J10)</f>
        <v>4230</v>
      </c>
      <c r="F20" s="43"/>
    </row>
    <row r="21" spans="1:6" s="32" customFormat="1" ht="12.5" x14ac:dyDescent="0.25">
      <c r="A21" s="138"/>
      <c r="B21" s="138">
        <f t="shared" si="0"/>
        <v>0</v>
      </c>
      <c r="C21" s="37" t="str">
        <f>Data!B11</f>
        <v>Travel</v>
      </c>
      <c r="D21" s="38">
        <f>IF((B21="Y"),Data!E11,Data!G11)</f>
        <v>1600</v>
      </c>
      <c r="E21" s="43">
        <f>IF((B21="Y"),Data!I11,Data!J11)</f>
        <v>2256</v>
      </c>
      <c r="F21" s="43"/>
    </row>
    <row r="22" spans="1:6" s="32" customFormat="1" ht="12.5" x14ac:dyDescent="0.25">
      <c r="A22" s="138"/>
      <c r="B22" s="138">
        <f t="shared" si="0"/>
        <v>0</v>
      </c>
      <c r="C22" s="37" t="str">
        <f>Data!B12</f>
        <v>Food</v>
      </c>
      <c r="D22" s="38">
        <f>IF((B22="Y"),Data!E12,Data!G12)</f>
        <v>6000</v>
      </c>
      <c r="E22" s="43">
        <f>IF((B22="Y"),Data!I12,Data!J12)</f>
        <v>8460</v>
      </c>
      <c r="F22" s="43"/>
    </row>
    <row r="23" spans="1:6" s="32" customFormat="1" ht="12.5" x14ac:dyDescent="0.25">
      <c r="A23" s="138"/>
      <c r="B23" s="138">
        <f>B22</f>
        <v>0</v>
      </c>
      <c r="C23" s="37" t="str">
        <f>Data!B13</f>
        <v>Return Flights</v>
      </c>
      <c r="D23" s="38">
        <f>IF((B23="Y"),Data!E13,Data!G13)</f>
        <v>1350</v>
      </c>
      <c r="E23" s="43">
        <f>IF((B23="Y"),Data!I13,Data!J13)</f>
        <v>1904</v>
      </c>
      <c r="F23" s="43"/>
    </row>
    <row r="24" spans="1:6" s="32" customFormat="1" ht="12.5" x14ac:dyDescent="0.25">
      <c r="A24" s="138"/>
      <c r="B24" s="138">
        <f t="shared" ref="B24:B25" si="1">B23</f>
        <v>0</v>
      </c>
      <c r="C24" s="37" t="str">
        <f>IF((D34=1),(Data!A14&amp;"  "&amp;Data!B14),Data!A14)</f>
        <v>1st Year extras</v>
      </c>
      <c r="D24" s="38">
        <f>IF((B24="Y"),Data!E14,Data!G14)</f>
        <v>0</v>
      </c>
      <c r="E24" s="43">
        <f>IF((B24="Y"),Data!I14,Data!J14)</f>
        <v>0</v>
      </c>
      <c r="F24" s="43"/>
    </row>
    <row r="25" spans="1:6" ht="15" thickBot="1" x14ac:dyDescent="0.4">
      <c r="A25" s="139"/>
      <c r="B25" s="138">
        <f t="shared" si="1"/>
        <v>0</v>
      </c>
      <c r="C25" s="37" t="str">
        <f>Data!A15&amp;"  "&amp;Data!B15</f>
        <v xml:space="preserve">Professional Judgement  </v>
      </c>
      <c r="D25" s="38">
        <f>IF((B25="Y"),Data!E15,Data!G15)</f>
        <v>0</v>
      </c>
      <c r="E25" s="43">
        <f>IF((B25="Y"),Data!I15,Data!J15)</f>
        <v>0</v>
      </c>
    </row>
    <row r="26" spans="1:6" s="32" customFormat="1" ht="12.5" x14ac:dyDescent="0.25">
      <c r="A26" s="138"/>
      <c r="B26" s="138">
        <f>B23</f>
        <v>0</v>
      </c>
      <c r="C26" s="130" t="str">
        <f>Data!B16</f>
        <v>Gross Total for the year 2026/27</v>
      </c>
      <c r="D26" s="131">
        <f>SUM(D17:D24)</f>
        <v>28950</v>
      </c>
      <c r="E26" s="132">
        <f>SUM(E17:E24)</f>
        <v>40820</v>
      </c>
    </row>
    <row r="27" spans="1:6" s="32" customFormat="1" ht="13" thickBot="1" x14ac:dyDescent="0.3">
      <c r="A27" s="138"/>
      <c r="B27" s="138"/>
      <c r="C27" s="133" t="s">
        <v>128</v>
      </c>
      <c r="D27" s="134"/>
      <c r="E27" s="135">
        <f>SUM(D40-E40+D41+D42-E41-E42)</f>
        <v>0</v>
      </c>
    </row>
    <row r="28" spans="1:6" s="32" customFormat="1" ht="13" thickBot="1" x14ac:dyDescent="0.3">
      <c r="A28" s="138"/>
      <c r="B28" s="138"/>
      <c r="C28" s="94" t="s">
        <v>127</v>
      </c>
      <c r="D28" s="40"/>
      <c r="E28" s="91">
        <f>SUM(E26:E27)</f>
        <v>40820</v>
      </c>
    </row>
    <row r="29" spans="1:6" s="32" customFormat="1" ht="12.5" x14ac:dyDescent="0.25">
      <c r="D29" s="33"/>
      <c r="F29" s="39"/>
    </row>
    <row r="30" spans="1:6" s="32" customFormat="1" ht="20" x14ac:dyDescent="0.4">
      <c r="C30" s="45" t="s">
        <v>110</v>
      </c>
      <c r="D30" s="33"/>
      <c r="F30" s="39"/>
    </row>
    <row r="31" spans="1:6" s="32" customFormat="1" ht="12.5" x14ac:dyDescent="0.25">
      <c r="C31" s="32" t="s">
        <v>27</v>
      </c>
      <c r="D31" s="33"/>
    </row>
    <row r="32" spans="1:6" s="32" customFormat="1" ht="12.5" x14ac:dyDescent="0.25">
      <c r="C32" s="32" t="s">
        <v>120</v>
      </c>
      <c r="D32" s="47">
        <v>0</v>
      </c>
    </row>
    <row r="33" spans="3:10" s="32" customFormat="1" ht="12.5" x14ac:dyDescent="0.25">
      <c r="C33" s="32" t="s">
        <v>121</v>
      </c>
      <c r="D33" s="47"/>
    </row>
    <row r="34" spans="3:10" s="32" customFormat="1" ht="12.5" x14ac:dyDescent="0.25">
      <c r="C34" s="32" t="s">
        <v>5</v>
      </c>
      <c r="D34" s="47"/>
    </row>
    <row r="35" spans="3:10" s="32" customFormat="1" ht="13" x14ac:dyDescent="0.3">
      <c r="D35" s="36" t="s">
        <v>25</v>
      </c>
      <c r="E35" s="35" t="s">
        <v>24</v>
      </c>
    </row>
    <row r="36" spans="3:10" s="32" customFormat="1" ht="25.5" x14ac:dyDescent="0.3">
      <c r="C36" s="41" t="s">
        <v>142</v>
      </c>
      <c r="D36" s="48">
        <v>0</v>
      </c>
      <c r="E36" s="49">
        <v>0</v>
      </c>
    </row>
    <row r="37" spans="3:10" s="32" customFormat="1" ht="28.5" customHeight="1" x14ac:dyDescent="0.3">
      <c r="C37" s="41" t="s">
        <v>143</v>
      </c>
      <c r="D37" s="48">
        <v>0</v>
      </c>
      <c r="E37" s="49">
        <v>0</v>
      </c>
    </row>
    <row r="38" spans="3:10" s="32" customFormat="1" ht="12.5" x14ac:dyDescent="0.25">
      <c r="D38" s="33"/>
    </row>
    <row r="39" spans="3:10" s="32" customFormat="1" ht="54" customHeight="1" x14ac:dyDescent="0.25">
      <c r="C39" s="115" t="s">
        <v>116</v>
      </c>
      <c r="D39" s="85" t="s">
        <v>31</v>
      </c>
      <c r="E39" s="85" t="s">
        <v>30</v>
      </c>
    </row>
    <row r="40" spans="3:10" s="26" customFormat="1" ht="13.5" customHeight="1" x14ac:dyDescent="0.25">
      <c r="C40" s="98" t="str">
        <f>Data!B39</f>
        <v>Subsidised Loan adjusted by SAI</v>
      </c>
      <c r="D40" s="23">
        <f>Data!D39</f>
        <v>0</v>
      </c>
      <c r="E40" s="23">
        <f>Data!F39</f>
        <v>0</v>
      </c>
    </row>
    <row r="41" spans="3:10" s="32" customFormat="1" ht="12.5" x14ac:dyDescent="0.25">
      <c r="C41" s="98" t="str">
        <f>Data!B40</f>
        <v>Unsubsidised Loan</v>
      </c>
      <c r="D41" s="23">
        <f>Data!D40</f>
        <v>0</v>
      </c>
      <c r="E41" s="23">
        <f>Data!F40</f>
        <v>0</v>
      </c>
      <c r="F41" s="129"/>
      <c r="G41" s="7"/>
      <c r="I41" s="7"/>
      <c r="J41" s="7"/>
    </row>
    <row r="42" spans="3:10" s="32" customFormat="1" ht="13" thickBot="1" x14ac:dyDescent="0.3">
      <c r="C42" s="98" t="str">
        <f>Data!B41</f>
        <v>Parent PLUS Loan</v>
      </c>
      <c r="D42" s="23">
        <f>ROUND((Data!D41),0)</f>
        <v>0</v>
      </c>
      <c r="E42" s="23">
        <f>ROUND((Data!F41),0)</f>
        <v>0</v>
      </c>
      <c r="F42" s="129"/>
      <c r="G42" s="7"/>
      <c r="I42" s="7"/>
      <c r="J42" s="7"/>
    </row>
    <row r="43" spans="3:10" s="32" customFormat="1" ht="13" thickBot="1" x14ac:dyDescent="0.3">
      <c r="C43" s="99" t="str">
        <f>Data!B42</f>
        <v>Total Federal Loans</v>
      </c>
      <c r="D43" s="92">
        <f>ROUND((Data!D42),0)</f>
        <v>0</v>
      </c>
      <c r="E43" s="93">
        <f>SUM(E40:E42)</f>
        <v>0</v>
      </c>
      <c r="F43" s="7"/>
      <c r="G43" s="7"/>
      <c r="I43" s="7"/>
      <c r="J43" s="7"/>
    </row>
    <row r="44" spans="3:10" s="32" customFormat="1" ht="12.5" x14ac:dyDescent="0.25">
      <c r="C44" s="102" t="str">
        <f>Data!B44</f>
        <v>You also have other funding of</v>
      </c>
      <c r="D44" s="87">
        <f>Data!D44</f>
        <v>0</v>
      </c>
      <c r="E44" s="87">
        <f>Data!F44</f>
        <v>0</v>
      </c>
    </row>
    <row r="45" spans="3:10" s="32" customFormat="1" ht="13" x14ac:dyDescent="0.3">
      <c r="C45" s="136" t="s">
        <v>144</v>
      </c>
      <c r="D45" s="137">
        <f>SUM(D43:D44)</f>
        <v>0</v>
      </c>
      <c r="E45" s="137">
        <f>SUM(E43:E44)</f>
        <v>0</v>
      </c>
      <c r="G45" s="39"/>
    </row>
    <row r="46" spans="3:10" s="32" customFormat="1" ht="12.5" x14ac:dyDescent="0.25"/>
    <row r="47" spans="3:10" s="32" customFormat="1" ht="37.5" x14ac:dyDescent="0.25">
      <c r="C47" s="44" t="s">
        <v>57</v>
      </c>
      <c r="D47" s="85" t="s">
        <v>31</v>
      </c>
      <c r="E47" s="85" t="s">
        <v>59</v>
      </c>
      <c r="F47" s="85" t="s">
        <v>89</v>
      </c>
    </row>
    <row r="48" spans="3:10" s="32" customFormat="1" ht="13" x14ac:dyDescent="0.3">
      <c r="C48" s="34" t="s">
        <v>58</v>
      </c>
      <c r="D48" s="33"/>
      <c r="E48" s="33"/>
      <c r="F48" s="33"/>
    </row>
    <row r="49" spans="1:7" s="32" customFormat="1" ht="13" x14ac:dyDescent="0.3">
      <c r="C49" s="34"/>
      <c r="D49" s="33"/>
      <c r="E49" s="33"/>
      <c r="F49" s="33"/>
    </row>
    <row r="50" spans="1:7" s="32" customFormat="1" ht="12.5" x14ac:dyDescent="0.25"/>
    <row r="51" spans="1:7" s="32" customFormat="1" ht="15.5" x14ac:dyDescent="0.35">
      <c r="A51" s="140" t="s">
        <v>60</v>
      </c>
      <c r="B51" s="141">
        <f>Data!D39</f>
        <v>0</v>
      </c>
      <c r="C51" s="96" t="str">
        <f>C40</f>
        <v>Subsidised Loan adjusted by SAI</v>
      </c>
      <c r="D51" s="50">
        <v>0</v>
      </c>
      <c r="E51" s="27">
        <f>Data!E39</f>
        <v>1.0569999999999999</v>
      </c>
      <c r="F51" s="43">
        <f>ROUND(D51*((100-E51)/100),0)</f>
        <v>0</v>
      </c>
      <c r="G51" s="110" t="str">
        <f>IF((D51&gt;B51),"Your request is more than the maximum allowed","")</f>
        <v/>
      </c>
    </row>
    <row r="52" spans="1:7" s="32" customFormat="1" ht="15.5" x14ac:dyDescent="0.35">
      <c r="A52" s="140" t="s">
        <v>60</v>
      </c>
      <c r="B52" s="141">
        <f>Data!D40</f>
        <v>0</v>
      </c>
      <c r="C52" s="96" t="str">
        <f>C41</f>
        <v>Unsubsidised Loan</v>
      </c>
      <c r="D52" s="50" t="s">
        <v>155</v>
      </c>
      <c r="E52" s="27">
        <f>Data!E40</f>
        <v>1.0569999999999999</v>
      </c>
      <c r="F52" s="43" t="e">
        <f t="shared" ref="F52:F53" si="2">ROUND(D52*((100-E52)/100),0)</f>
        <v>#VALUE!</v>
      </c>
      <c r="G52" s="110" t="str">
        <f t="shared" ref="G52:G53" si="3">IF((D52&gt;B52),"Your request is more than the maximum allowed","")</f>
        <v>Your request is more than the maximum allowed</v>
      </c>
    </row>
    <row r="53" spans="1:7" s="32" customFormat="1" ht="16" thickBot="1" x14ac:dyDescent="0.4">
      <c r="A53" s="140" t="s">
        <v>60</v>
      </c>
      <c r="B53" s="141">
        <f>ROUND((Data!D41),0)</f>
        <v>0</v>
      </c>
      <c r="C53" s="96" t="str">
        <f>C42</f>
        <v>Parent PLUS Loan</v>
      </c>
      <c r="D53" s="50">
        <v>0</v>
      </c>
      <c r="E53" s="27">
        <f>Data!E41</f>
        <v>4.2279999999999998</v>
      </c>
      <c r="F53" s="43">
        <f t="shared" si="2"/>
        <v>0</v>
      </c>
      <c r="G53" s="110" t="str">
        <f t="shared" si="3"/>
        <v/>
      </c>
    </row>
    <row r="54" spans="1:7" s="32" customFormat="1" ht="16" thickBot="1" x14ac:dyDescent="0.4">
      <c r="A54" s="140"/>
      <c r="B54" s="142"/>
      <c r="C54" s="97" t="s">
        <v>62</v>
      </c>
      <c r="D54" s="91">
        <f>SUM(D51:D53)</f>
        <v>0</v>
      </c>
      <c r="E54" s="91"/>
      <c r="F54" s="91" t="e">
        <f>SUM(F50:F53)</f>
        <v>#VALUE!</v>
      </c>
      <c r="G54" s="110"/>
    </row>
    <row r="55" spans="1:7" s="32" customFormat="1" ht="15.5" x14ac:dyDescent="0.35">
      <c r="A55" s="140"/>
      <c r="B55" s="142"/>
      <c r="C55" s="96"/>
      <c r="D55" s="43"/>
      <c r="E55" s="43"/>
      <c r="F55" s="43"/>
      <c r="G55" s="110"/>
    </row>
    <row r="56" spans="1:7" s="32" customFormat="1" ht="15.5" x14ac:dyDescent="0.35">
      <c r="A56" s="140"/>
      <c r="B56" s="142"/>
      <c r="C56" s="95" t="s">
        <v>61</v>
      </c>
      <c r="D56" s="42">
        <f>D44</f>
        <v>0</v>
      </c>
      <c r="E56" s="42"/>
      <c r="F56" s="42">
        <f>D56</f>
        <v>0</v>
      </c>
      <c r="G56" s="110"/>
    </row>
    <row r="57" spans="1:7" s="32" customFormat="1" ht="15.5" x14ac:dyDescent="0.35">
      <c r="A57" s="140"/>
      <c r="B57" s="142"/>
      <c r="C57" s="117" t="s">
        <v>125</v>
      </c>
      <c r="D57" s="33"/>
      <c r="E57" s="33"/>
      <c r="F57" s="33"/>
      <c r="G57" s="110"/>
    </row>
    <row r="58" spans="1:7" s="32" customFormat="1" ht="15.5" x14ac:dyDescent="0.35">
      <c r="A58" s="140" t="s">
        <v>60</v>
      </c>
      <c r="B58" s="141" t="e">
        <f>Data!F49</f>
        <v>#VALUE!</v>
      </c>
      <c r="C58" s="32" t="s">
        <v>126</v>
      </c>
      <c r="D58" s="50">
        <v>0</v>
      </c>
      <c r="E58" s="33"/>
      <c r="F58" s="43">
        <f>D58</f>
        <v>0</v>
      </c>
      <c r="G58" s="110" t="e">
        <f>IF((D58&gt;B58),"Your request is more than the maximum allowed","")</f>
        <v>#VALUE!</v>
      </c>
    </row>
    <row r="59" spans="1:7" s="32" customFormat="1" ht="13.5" thickBot="1" x14ac:dyDescent="0.35">
      <c r="B59" s="39"/>
      <c r="C59" s="100" t="s">
        <v>92</v>
      </c>
      <c r="D59" s="101">
        <f>SUM(D54:D58)</f>
        <v>0</v>
      </c>
      <c r="E59" s="100"/>
      <c r="F59" s="101" t="e">
        <f>SUM(F54:F58)</f>
        <v>#VALUE!</v>
      </c>
    </row>
    <row r="60" spans="1:7" s="32" customFormat="1" ht="13" thickTop="1" x14ac:dyDescent="0.25">
      <c r="B60" s="39"/>
      <c r="D60" s="86"/>
      <c r="F60" s="39"/>
    </row>
    <row r="61" spans="1:7" s="32" customFormat="1" ht="20" x14ac:dyDescent="0.3">
      <c r="B61" s="123"/>
      <c r="C61" s="44" t="s">
        <v>114</v>
      </c>
      <c r="D61" s="33"/>
    </row>
    <row r="62" spans="1:7" s="32" customFormat="1" ht="13" x14ac:dyDescent="0.3">
      <c r="A62" s="28"/>
      <c r="B62" s="123"/>
      <c r="C62" s="51" t="s">
        <v>129</v>
      </c>
      <c r="D62" s="33"/>
    </row>
    <row r="63" spans="1:7" s="32" customFormat="1" ht="13" x14ac:dyDescent="0.3">
      <c r="A63" s="30"/>
      <c r="B63" s="124"/>
      <c r="C63" s="51" t="s">
        <v>130</v>
      </c>
      <c r="D63" s="33"/>
    </row>
    <row r="64" spans="1:7" s="32" customFormat="1" ht="12.5" x14ac:dyDescent="0.25">
      <c r="A64" s="31"/>
      <c r="B64" s="124"/>
      <c r="C64" s="52" t="s">
        <v>131</v>
      </c>
      <c r="D64" s="33"/>
    </row>
    <row r="65" spans="1:4" s="32" customFormat="1" ht="12.5" x14ac:dyDescent="0.25">
      <c r="A65" s="31"/>
      <c r="B65" s="124"/>
      <c r="C65" s="52" t="s">
        <v>132</v>
      </c>
      <c r="D65" s="33"/>
    </row>
    <row r="66" spans="1:4" s="32" customFormat="1" ht="12.5" x14ac:dyDescent="0.25">
      <c r="A66" s="31"/>
      <c r="B66" s="124"/>
      <c r="C66" s="52" t="s">
        <v>133</v>
      </c>
      <c r="D66" s="33"/>
    </row>
    <row r="67" spans="1:4" s="32" customFormat="1" ht="12.5" x14ac:dyDescent="0.25">
      <c r="A67" s="31"/>
      <c r="B67" s="124"/>
      <c r="C67" s="52" t="s">
        <v>134</v>
      </c>
      <c r="D67" s="33"/>
    </row>
    <row r="68" spans="1:4" s="32" customFormat="1" x14ac:dyDescent="0.35">
      <c r="A68" s="28"/>
      <c r="B68" s="125"/>
      <c r="C68" s="52" t="s">
        <v>135</v>
      </c>
      <c r="D68" s="33"/>
    </row>
    <row r="69" spans="1:4" s="32" customFormat="1" x14ac:dyDescent="0.35">
      <c r="A69" s="28"/>
      <c r="B69" s="126"/>
      <c r="C69" s="122" t="s">
        <v>136</v>
      </c>
      <c r="D69" s="33"/>
    </row>
    <row r="70" spans="1:4" s="32" customFormat="1" ht="13" x14ac:dyDescent="0.3">
      <c r="A70" s="28"/>
      <c r="B70" s="127"/>
      <c r="C70" s="53" t="s">
        <v>137</v>
      </c>
      <c r="D70" s="33"/>
    </row>
    <row r="71" spans="1:4" s="32" customFormat="1" ht="13" x14ac:dyDescent="0.3">
      <c r="A71" s="30"/>
      <c r="B71" s="128"/>
      <c r="C71" s="54" t="s">
        <v>138</v>
      </c>
      <c r="D71" s="33"/>
    </row>
    <row r="72" spans="1:4" s="32" customFormat="1" ht="12.5" x14ac:dyDescent="0.25">
      <c r="A72" s="28"/>
      <c r="B72" s="128"/>
      <c r="C72" s="55" t="s">
        <v>139</v>
      </c>
      <c r="D72" s="33"/>
    </row>
    <row r="73" spans="1:4" s="32" customFormat="1" ht="12.5" x14ac:dyDescent="0.25">
      <c r="A73" s="28"/>
      <c r="B73" s="29"/>
      <c r="C73" s="55" t="s">
        <v>140</v>
      </c>
      <c r="D73" s="33"/>
    </row>
    <row r="74" spans="1:4" s="32" customFormat="1" ht="12.5" x14ac:dyDescent="0.25">
      <c r="D74" s="33"/>
    </row>
    <row r="75" spans="1:4" s="32" customFormat="1" ht="15.5" x14ac:dyDescent="0.35">
      <c r="B75" s="110" t="str">
        <f>IF((D54&gt;1),"We will carry out the required checks and build all Direct Federal Loans.","")</f>
        <v/>
      </c>
      <c r="D75" s="33"/>
    </row>
    <row r="76" spans="1:4" s="32" customFormat="1" ht="15.5" x14ac:dyDescent="0.35">
      <c r="B76" s="110" t="str">
        <f>IF((D58&gt;1),"Private loans should be applied to directly. Contact us in order for loans to be certified.","")</f>
        <v/>
      </c>
      <c r="D76" s="33"/>
    </row>
    <row r="77" spans="1:4" s="32" customFormat="1" ht="15.5" x14ac:dyDescent="0.35">
      <c r="B77" s="110" t="str">
        <f>IF((D58&gt;1),"The private loan provider will provide you with their own proof of loans for Visa purposes","")</f>
        <v/>
      </c>
      <c r="D77" s="33"/>
    </row>
    <row r="78" spans="1:4" s="32" customFormat="1" ht="12.5" x14ac:dyDescent="0.25">
      <c r="D78" s="33"/>
    </row>
    <row r="79" spans="1:4" s="32" customFormat="1" ht="12.5" x14ac:dyDescent="0.25">
      <c r="D79" s="33"/>
    </row>
    <row r="80" spans="1:4" s="32" customFormat="1" ht="12.5" x14ac:dyDescent="0.25">
      <c r="D80" s="33"/>
    </row>
    <row r="81" spans="4:4" s="32" customFormat="1" ht="12.5" x14ac:dyDescent="0.25">
      <c r="D81" s="33"/>
    </row>
    <row r="82" spans="4:4" s="32" customFormat="1" ht="12.5" x14ac:dyDescent="0.25">
      <c r="D82" s="33"/>
    </row>
    <row r="83" spans="4:4" s="32" customFormat="1" ht="12.5" x14ac:dyDescent="0.25">
      <c r="D83" s="33"/>
    </row>
    <row r="84" spans="4:4" s="32" customFormat="1" ht="12.5" x14ac:dyDescent="0.25">
      <c r="D84" s="33"/>
    </row>
    <row r="85" spans="4:4" s="32" customFormat="1" ht="12.5" x14ac:dyDescent="0.25">
      <c r="D85" s="33"/>
    </row>
  </sheetData>
  <sheetProtection selectLockedCells="1"/>
  <hyperlinks>
    <hyperlink ref="C14" r:id="rId1" xr:uid="{84E3B291-78F9-4B89-99E0-28001807578E}"/>
    <hyperlink ref="C69" r:id="rId2" display="michael.l.mckeague@gmail.com" xr:uid="{0285C9B7-158D-4343-9EA3-BDBB95DDBAE0}"/>
  </hyperlinks>
  <pageMargins left="0.7" right="0.7" top="0.75" bottom="0.75" header="0.3" footer="0.3"/>
  <pageSetup paperSize="9" scale="57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737C-1935-4283-B862-33788A663893}">
  <dimension ref="A1:P64"/>
  <sheetViews>
    <sheetView topLeftCell="C1" zoomScale="85" zoomScaleNormal="85" workbookViewId="0">
      <selection activeCell="N1" sqref="N1"/>
    </sheetView>
  </sheetViews>
  <sheetFormatPr defaultRowHeight="14.5" x14ac:dyDescent="0.35"/>
  <cols>
    <col min="2" max="2" width="31" customWidth="1"/>
    <col min="3" max="3" width="18" bestFit="1" customWidth="1"/>
    <col min="5" max="5" width="18" bestFit="1" customWidth="1"/>
    <col min="8" max="8" width="14.453125" bestFit="1" customWidth="1"/>
    <col min="9" max="9" width="14.453125" customWidth="1"/>
    <col min="10" max="10" width="14" bestFit="1" customWidth="1"/>
    <col min="12" max="12" width="15.54296875" customWidth="1"/>
    <col min="14" max="14" width="15.90625" customWidth="1"/>
  </cols>
  <sheetData>
    <row r="1" spans="1:10" ht="18.5" x14ac:dyDescent="0.45">
      <c r="B1" s="6" t="s">
        <v>0</v>
      </c>
    </row>
    <row r="2" spans="1:10" x14ac:dyDescent="0.35">
      <c r="B2" t="s">
        <v>101</v>
      </c>
      <c r="C2" s="5" t="s">
        <v>123</v>
      </c>
    </row>
    <row r="3" spans="1:10" x14ac:dyDescent="0.35">
      <c r="B3" t="s">
        <v>21</v>
      </c>
      <c r="C3" t="s">
        <v>12</v>
      </c>
      <c r="D3" s="5">
        <v>40</v>
      </c>
    </row>
    <row r="4" spans="1:10" x14ac:dyDescent="0.35">
      <c r="C4" t="s">
        <v>13</v>
      </c>
      <c r="D4" s="5">
        <v>40</v>
      </c>
    </row>
    <row r="5" spans="1:10" x14ac:dyDescent="0.35">
      <c r="B5" t="s">
        <v>11</v>
      </c>
      <c r="D5" s="5">
        <v>1.41</v>
      </c>
    </row>
    <row r="6" spans="1:10" x14ac:dyDescent="0.35">
      <c r="C6" t="s">
        <v>20</v>
      </c>
      <c r="D6" t="s">
        <v>18</v>
      </c>
      <c r="E6" t="s">
        <v>14</v>
      </c>
      <c r="F6" t="s">
        <v>18</v>
      </c>
      <c r="G6" t="s">
        <v>16</v>
      </c>
      <c r="H6" t="s">
        <v>19</v>
      </c>
      <c r="I6" t="s">
        <v>15</v>
      </c>
      <c r="J6" t="s">
        <v>17</v>
      </c>
    </row>
    <row r="7" spans="1:10" x14ac:dyDescent="0.35">
      <c r="B7" t="s">
        <v>23</v>
      </c>
      <c r="E7" s="121">
        <v>23300</v>
      </c>
      <c r="G7" s="121">
        <v>23300</v>
      </c>
      <c r="H7" s="8">
        <f>D5</f>
        <v>1.41</v>
      </c>
      <c r="I7" s="22">
        <f t="shared" ref="I7:I15" si="0">ROUND((E7*H7),0)</f>
        <v>32853</v>
      </c>
      <c r="J7" s="22">
        <f t="shared" ref="J7:J15" si="1">ROUND((G7*H7),0)</f>
        <v>32853</v>
      </c>
    </row>
    <row r="8" spans="1:10" x14ac:dyDescent="0.35">
      <c r="B8" t="s">
        <v>8</v>
      </c>
      <c r="C8" s="112">
        <v>375</v>
      </c>
      <c r="D8" s="8">
        <f>D3</f>
        <v>40</v>
      </c>
      <c r="E8" s="21">
        <f>ROUND((C8*D8),0)</f>
        <v>15000</v>
      </c>
      <c r="F8" s="8">
        <f>D4</f>
        <v>40</v>
      </c>
      <c r="G8" s="21">
        <f>ROUND((C8*F8),0)</f>
        <v>15000</v>
      </c>
      <c r="H8" s="8">
        <f>H7</f>
        <v>1.41</v>
      </c>
      <c r="I8" s="22">
        <f t="shared" si="0"/>
        <v>21150</v>
      </c>
      <c r="J8" s="22">
        <f>ROUND((G8*H8),0)</f>
        <v>21150</v>
      </c>
    </row>
    <row r="9" spans="1:10" x14ac:dyDescent="0.35">
      <c r="B9" t="s">
        <v>9</v>
      </c>
      <c r="C9" s="112">
        <v>50</v>
      </c>
      <c r="D9" s="8">
        <f>D8</f>
        <v>40</v>
      </c>
      <c r="E9" s="21">
        <f t="shared" ref="E9:E15" si="2">ROUND((C9*D9),0)</f>
        <v>2000</v>
      </c>
      <c r="F9" s="8">
        <f>F8</f>
        <v>40</v>
      </c>
      <c r="G9" s="21">
        <f t="shared" ref="G9:G15" si="3">ROUND((C9*F9),0)</f>
        <v>2000</v>
      </c>
      <c r="H9" s="8">
        <f t="shared" ref="H9:H15" si="4">H8</f>
        <v>1.41</v>
      </c>
      <c r="I9" s="22">
        <f t="shared" si="0"/>
        <v>2820</v>
      </c>
      <c r="J9" s="22">
        <f t="shared" si="1"/>
        <v>2820</v>
      </c>
    </row>
    <row r="10" spans="1:10" x14ac:dyDescent="0.35">
      <c r="B10" t="s">
        <v>6</v>
      </c>
      <c r="C10" s="112">
        <v>75</v>
      </c>
      <c r="D10" s="8">
        <f t="shared" ref="D10:D12" si="5">D9</f>
        <v>40</v>
      </c>
      <c r="E10" s="21">
        <f t="shared" si="2"/>
        <v>3000</v>
      </c>
      <c r="F10" s="8">
        <f t="shared" ref="F10:F12" si="6">F9</f>
        <v>40</v>
      </c>
      <c r="G10" s="21">
        <f t="shared" si="3"/>
        <v>3000</v>
      </c>
      <c r="H10" s="8">
        <f t="shared" si="4"/>
        <v>1.41</v>
      </c>
      <c r="I10" s="22">
        <f t="shared" si="0"/>
        <v>4230</v>
      </c>
      <c r="J10" s="22">
        <f t="shared" si="1"/>
        <v>4230</v>
      </c>
    </row>
    <row r="11" spans="1:10" x14ac:dyDescent="0.35">
      <c r="B11" t="s">
        <v>7</v>
      </c>
      <c r="C11" s="112">
        <v>40</v>
      </c>
      <c r="D11" s="8">
        <f t="shared" si="5"/>
        <v>40</v>
      </c>
      <c r="E11" s="21">
        <f t="shared" si="2"/>
        <v>1600</v>
      </c>
      <c r="F11" s="8">
        <f t="shared" si="6"/>
        <v>40</v>
      </c>
      <c r="G11" s="21">
        <f t="shared" si="3"/>
        <v>1600</v>
      </c>
      <c r="H11" s="8">
        <f t="shared" si="4"/>
        <v>1.41</v>
      </c>
      <c r="I11" s="22">
        <f t="shared" si="0"/>
        <v>2256</v>
      </c>
      <c r="J11" s="22">
        <f t="shared" si="1"/>
        <v>2256</v>
      </c>
    </row>
    <row r="12" spans="1:10" x14ac:dyDescent="0.35">
      <c r="B12" t="s">
        <v>154</v>
      </c>
      <c r="C12" s="112">
        <v>150</v>
      </c>
      <c r="D12" s="8">
        <f t="shared" si="5"/>
        <v>40</v>
      </c>
      <c r="E12" s="21">
        <f t="shared" si="2"/>
        <v>6000</v>
      </c>
      <c r="F12" s="8">
        <f t="shared" si="6"/>
        <v>40</v>
      </c>
      <c r="G12" s="21">
        <f t="shared" si="3"/>
        <v>6000</v>
      </c>
      <c r="H12" s="8">
        <f t="shared" si="4"/>
        <v>1.41</v>
      </c>
      <c r="I12" s="22">
        <f t="shared" si="0"/>
        <v>8460</v>
      </c>
      <c r="J12" s="22">
        <f t="shared" si="1"/>
        <v>8460</v>
      </c>
    </row>
    <row r="13" spans="1:10" x14ac:dyDescent="0.35">
      <c r="B13" t="s">
        <v>10</v>
      </c>
      <c r="C13" s="112">
        <v>1350</v>
      </c>
      <c r="D13" s="8">
        <v>2</v>
      </c>
      <c r="E13" s="21">
        <f t="shared" si="2"/>
        <v>2700</v>
      </c>
      <c r="F13" s="8">
        <v>1</v>
      </c>
      <c r="G13" s="21">
        <f t="shared" si="3"/>
        <v>1350</v>
      </c>
      <c r="H13" s="8">
        <f t="shared" si="4"/>
        <v>1.41</v>
      </c>
      <c r="I13" s="22">
        <f t="shared" si="0"/>
        <v>3807</v>
      </c>
      <c r="J13" s="22">
        <f t="shared" si="1"/>
        <v>1904</v>
      </c>
    </row>
    <row r="14" spans="1:10" x14ac:dyDescent="0.35">
      <c r="A14" t="s">
        <v>115</v>
      </c>
      <c r="B14" t="s">
        <v>93</v>
      </c>
      <c r="C14" s="112">
        <v>1500</v>
      </c>
      <c r="D14" s="8">
        <v>1</v>
      </c>
      <c r="E14" s="21">
        <f>IF((C34=1),C14,0)</f>
        <v>0</v>
      </c>
      <c r="F14">
        <v>1</v>
      </c>
      <c r="G14" s="21">
        <f>IF((C34=1),C14,0)</f>
        <v>0</v>
      </c>
      <c r="H14" s="8">
        <f t="shared" si="4"/>
        <v>1.41</v>
      </c>
      <c r="I14" s="22">
        <f t="shared" si="0"/>
        <v>0</v>
      </c>
      <c r="J14" s="22">
        <f t="shared" si="1"/>
        <v>0</v>
      </c>
    </row>
    <row r="15" spans="1:10" ht="15" thickBot="1" x14ac:dyDescent="0.4">
      <c r="A15" t="s">
        <v>145</v>
      </c>
      <c r="C15" s="112">
        <v>0</v>
      </c>
      <c r="D15" s="113">
        <v>1</v>
      </c>
      <c r="E15" s="21">
        <f t="shared" si="2"/>
        <v>0</v>
      </c>
      <c r="G15" s="21">
        <f t="shared" si="3"/>
        <v>0</v>
      </c>
      <c r="H15" s="8">
        <f t="shared" si="4"/>
        <v>1.41</v>
      </c>
      <c r="I15" s="22">
        <f t="shared" si="0"/>
        <v>0</v>
      </c>
      <c r="J15" s="22">
        <f t="shared" si="1"/>
        <v>0</v>
      </c>
    </row>
    <row r="16" spans="1:10" ht="15" thickBot="1" x14ac:dyDescent="0.4">
      <c r="B16" s="88" t="str">
        <f>"Gross Total for the year " &amp;C2</f>
        <v>Gross Total for the year 2026/27</v>
      </c>
      <c r="C16" s="88"/>
      <c r="D16" s="88"/>
      <c r="E16" s="90">
        <f>SUM(E7:E15)</f>
        <v>53600</v>
      </c>
      <c r="F16" s="90"/>
      <c r="G16" s="90">
        <f t="shared" ref="G16:J16" si="7">SUM(G7:G15)</f>
        <v>52250</v>
      </c>
      <c r="H16" s="90"/>
      <c r="I16" s="90">
        <f t="shared" si="7"/>
        <v>75576</v>
      </c>
      <c r="J16" s="90">
        <f t="shared" si="7"/>
        <v>73673</v>
      </c>
    </row>
    <row r="18" spans="2:16" ht="18.5" x14ac:dyDescent="0.45">
      <c r="B18" s="6" t="s">
        <v>101</v>
      </c>
      <c r="C18" s="107" t="s">
        <v>106</v>
      </c>
      <c r="D18" s="107"/>
      <c r="E18" s="107" t="s">
        <v>107</v>
      </c>
    </row>
    <row r="19" spans="2:16" x14ac:dyDescent="0.35">
      <c r="B19" t="s">
        <v>102</v>
      </c>
      <c r="C19" s="109">
        <v>46293</v>
      </c>
      <c r="D19" s="106"/>
      <c r="E19" s="106"/>
    </row>
    <row r="20" spans="2:16" x14ac:dyDescent="0.35">
      <c r="B20" t="s">
        <v>103</v>
      </c>
      <c r="C20" s="109">
        <v>46286</v>
      </c>
      <c r="D20" s="106"/>
      <c r="E20" s="106">
        <f>MIN(C19:C20)</f>
        <v>46286</v>
      </c>
    </row>
    <row r="21" spans="2:16" x14ac:dyDescent="0.35">
      <c r="B21" t="s">
        <v>104</v>
      </c>
      <c r="C21" s="109">
        <v>46568</v>
      </c>
      <c r="D21" s="106"/>
      <c r="E21" s="106">
        <f>IF((C32="Y"),C21,C22)</f>
        <v>46568</v>
      </c>
    </row>
    <row r="22" spans="2:16" x14ac:dyDescent="0.35">
      <c r="B22" t="s">
        <v>105</v>
      </c>
      <c r="C22" s="109">
        <v>46568</v>
      </c>
      <c r="D22" s="106"/>
      <c r="E22" s="106"/>
    </row>
    <row r="25" spans="2:16" ht="18.5" x14ac:dyDescent="0.45">
      <c r="B25" s="6" t="s">
        <v>26</v>
      </c>
    </row>
    <row r="26" spans="2:16" ht="18.5" x14ac:dyDescent="0.45">
      <c r="B26" s="114" t="s">
        <v>111</v>
      </c>
      <c r="I26" s="9" t="s">
        <v>37</v>
      </c>
      <c r="J26" s="10"/>
      <c r="K26" s="10"/>
      <c r="L26" s="10"/>
      <c r="M26" s="10"/>
      <c r="N26" s="10"/>
      <c r="O26" s="10"/>
      <c r="P26" s="10"/>
    </row>
    <row r="27" spans="2:16" x14ac:dyDescent="0.35">
      <c r="B27" t="s">
        <v>34</v>
      </c>
      <c r="D27" s="4"/>
      <c r="E27" s="4"/>
      <c r="F27" s="4">
        <f>'Cost of Attendance'!E26-'Cost of Attendance'!D32</f>
        <v>40820</v>
      </c>
      <c r="I27" s="11" t="s">
        <v>50</v>
      </c>
      <c r="J27" s="11"/>
      <c r="K27" s="11"/>
      <c r="L27" s="12"/>
      <c r="M27" s="11" t="s">
        <v>38</v>
      </c>
      <c r="N27" s="12"/>
      <c r="O27" s="12"/>
      <c r="P27" s="13"/>
    </row>
    <row r="28" spans="2:16" x14ac:dyDescent="0.35">
      <c r="B28" t="s">
        <v>35</v>
      </c>
      <c r="C28" s="3">
        <f>SUM('Cost of Attendance'!D36:D37)</f>
        <v>0</v>
      </c>
      <c r="D28" s="4" t="s">
        <v>49</v>
      </c>
      <c r="E28" s="4">
        <f>C28*D5</f>
        <v>0</v>
      </c>
      <c r="F28" s="4"/>
      <c r="I28" s="14" t="s">
        <v>39</v>
      </c>
      <c r="J28" s="15" t="s">
        <v>40</v>
      </c>
      <c r="K28" s="15" t="s">
        <v>41</v>
      </c>
      <c r="L28" s="12"/>
      <c r="M28" s="12" t="s">
        <v>39</v>
      </c>
      <c r="N28" s="15" t="s">
        <v>40</v>
      </c>
      <c r="O28" s="15" t="s">
        <v>41</v>
      </c>
      <c r="P28" s="13"/>
    </row>
    <row r="29" spans="2:16" x14ac:dyDescent="0.35">
      <c r="B29" t="s">
        <v>36</v>
      </c>
      <c r="D29" s="4"/>
      <c r="E29" s="4">
        <f>SUM('Cost of Attendance'!E36:E37)</f>
        <v>0</v>
      </c>
      <c r="F29" s="4"/>
      <c r="I29" s="16">
        <f>IF(C32="Y",0,M29)</f>
        <v>0</v>
      </c>
      <c r="J29" s="16">
        <f>IF((C32="N"),M29,0)</f>
        <v>0</v>
      </c>
      <c r="K29" s="17">
        <f>IF((C32="N"),O29,0)</f>
        <v>0</v>
      </c>
      <c r="L29" s="18" t="s">
        <v>42</v>
      </c>
      <c r="M29" s="19">
        <v>0</v>
      </c>
      <c r="N29" s="19">
        <v>0</v>
      </c>
      <c r="O29" s="19">
        <v>20500</v>
      </c>
      <c r="P29" s="10"/>
    </row>
    <row r="30" spans="2:16" x14ac:dyDescent="0.35">
      <c r="B30" t="s">
        <v>56</v>
      </c>
      <c r="D30" s="4"/>
      <c r="E30" s="4"/>
      <c r="F30" s="4">
        <f>-SUM(E28:E29)</f>
        <v>0</v>
      </c>
      <c r="I30" s="16">
        <f>IF((AND(C32="Y",C34=1)),M30,0)</f>
        <v>0</v>
      </c>
      <c r="J30" s="16">
        <f>IF((AND(C32="Y",C33="D",C34=1)),N30,0)</f>
        <v>0</v>
      </c>
      <c r="K30" s="18">
        <f>IF((AND(C32="Y",C33="I",C34=1)),O30,0)</f>
        <v>0</v>
      </c>
      <c r="L30" s="18" t="s">
        <v>43</v>
      </c>
      <c r="M30" s="19">
        <v>3500</v>
      </c>
      <c r="N30" s="19">
        <v>2000</v>
      </c>
      <c r="O30" s="19">
        <v>6000</v>
      </c>
      <c r="P30" s="10"/>
    </row>
    <row r="31" spans="2:16" x14ac:dyDescent="0.35">
      <c r="B31" t="s">
        <v>52</v>
      </c>
      <c r="D31" s="4"/>
      <c r="E31" s="4"/>
      <c r="F31" s="4">
        <f>SUM(F27:F30)</f>
        <v>40820</v>
      </c>
      <c r="I31" s="16">
        <f>IF((AND(C32="Y",C34=2)),M31,0)</f>
        <v>0</v>
      </c>
      <c r="J31" s="16">
        <f>IF((AND(C32="Y",C33="D",C34=2)),N31,0)</f>
        <v>0</v>
      </c>
      <c r="K31" s="18">
        <f>IF((AND(C32="Y",C33="I",C34=2)),O31,0)</f>
        <v>0</v>
      </c>
      <c r="L31" s="18" t="s">
        <v>44</v>
      </c>
      <c r="M31" s="19">
        <v>4500</v>
      </c>
      <c r="N31" s="19">
        <v>2000</v>
      </c>
      <c r="O31" s="19">
        <v>6000</v>
      </c>
      <c r="P31" s="10"/>
    </row>
    <row r="32" spans="2:16" x14ac:dyDescent="0.35">
      <c r="B32" t="s">
        <v>12</v>
      </c>
      <c r="C32" s="2">
        <f>'Cost of Attendance'!D12</f>
        <v>0</v>
      </c>
      <c r="D32" s="4"/>
      <c r="E32" s="4"/>
      <c r="F32" s="4"/>
      <c r="I32" s="16">
        <f>IF((AND(C32="Y",C34&gt;2)),M32,0)</f>
        <v>0</v>
      </c>
      <c r="J32" s="16">
        <f>IF((AND(C32="Y",C33="D",C34&gt;2)),N32,0)</f>
        <v>0</v>
      </c>
      <c r="K32" s="18">
        <f>IF((AND(C32="Y",C33="I",C34=3)),O32,0)</f>
        <v>0</v>
      </c>
      <c r="L32" s="18" t="s">
        <v>45</v>
      </c>
      <c r="M32" s="19">
        <v>5500</v>
      </c>
      <c r="N32" s="19">
        <v>2000</v>
      </c>
      <c r="O32" s="19">
        <v>7000</v>
      </c>
      <c r="P32" s="10"/>
    </row>
    <row r="33" spans="2:16" x14ac:dyDescent="0.35">
      <c r="B33" t="s">
        <v>48</v>
      </c>
      <c r="C33" s="2">
        <f>'Cost of Attendance'!D33</f>
        <v>0</v>
      </c>
      <c r="D33" s="4"/>
      <c r="E33" s="4"/>
      <c r="F33" s="4"/>
      <c r="I33" s="16">
        <f>MAX(I29:I32)</f>
        <v>0</v>
      </c>
      <c r="J33" s="17"/>
      <c r="K33" s="17">
        <f>MAX(J29:K32)</f>
        <v>0</v>
      </c>
      <c r="L33" s="20" t="s">
        <v>46</v>
      </c>
      <c r="M33" s="20"/>
      <c r="N33" s="20" t="s">
        <v>47</v>
      </c>
      <c r="O33" s="18"/>
      <c r="P33" s="10"/>
    </row>
    <row r="34" spans="2:16" x14ac:dyDescent="0.35">
      <c r="B34" t="s">
        <v>22</v>
      </c>
      <c r="C34" s="2">
        <f>'Cost of Attendance'!D34</f>
        <v>0</v>
      </c>
      <c r="D34" s="4"/>
      <c r="E34" s="4"/>
      <c r="F34" s="4"/>
      <c r="I34" s="16"/>
      <c r="J34" s="17"/>
      <c r="K34" s="17"/>
      <c r="L34" s="20"/>
      <c r="M34" s="20"/>
      <c r="N34" s="20"/>
      <c r="O34" s="18"/>
      <c r="P34" s="10"/>
    </row>
    <row r="35" spans="2:16" x14ac:dyDescent="0.35">
      <c r="C35" s="2"/>
      <c r="D35" s="4"/>
      <c r="E35" s="4"/>
      <c r="F35" s="4"/>
      <c r="I35" s="16"/>
      <c r="J35" s="17"/>
      <c r="K35" s="17"/>
      <c r="L35" s="20"/>
      <c r="M35" s="20"/>
      <c r="N35" s="20"/>
      <c r="O35" s="18"/>
      <c r="P35" s="10"/>
    </row>
    <row r="36" spans="2:16" x14ac:dyDescent="0.35">
      <c r="B36" s="114" t="s">
        <v>112</v>
      </c>
      <c r="C36" s="2"/>
      <c r="D36" s="4"/>
      <c r="E36" s="4"/>
      <c r="F36" s="4"/>
      <c r="I36" s="16"/>
      <c r="J36" s="17"/>
      <c r="K36" s="17"/>
      <c r="L36" s="20"/>
      <c r="M36" s="20"/>
      <c r="N36" s="20"/>
      <c r="O36" s="18"/>
      <c r="P36" s="10"/>
    </row>
    <row r="37" spans="2:16" ht="18.5" x14ac:dyDescent="0.45">
      <c r="D37" s="4"/>
      <c r="E37" s="4"/>
      <c r="F37" s="4"/>
      <c r="I37" s="9" t="s">
        <v>54</v>
      </c>
      <c r="O37" s="18"/>
      <c r="P37" s="10"/>
    </row>
    <row r="38" spans="2:16" x14ac:dyDescent="0.35">
      <c r="D38" t="s">
        <v>87</v>
      </c>
      <c r="E38" s="4" t="s">
        <v>53</v>
      </c>
      <c r="F38" s="4" t="s">
        <v>29</v>
      </c>
      <c r="I38" t="s">
        <v>55</v>
      </c>
      <c r="J38" s="4">
        <f>SUM('Cost of Attendance'!E26-Data!E28-Data!E29-'Cost of Attendance'!E40-'Cost of Attendance'!E41)</f>
        <v>40820</v>
      </c>
    </row>
    <row r="39" spans="2:16" x14ac:dyDescent="0.35">
      <c r="B39" t="s">
        <v>122</v>
      </c>
      <c r="D39" s="4">
        <f>IF((F31&gt;0),MIN(F31,I33),(0))</f>
        <v>0</v>
      </c>
      <c r="E39" s="84">
        <v>1.0569999999999999</v>
      </c>
      <c r="F39" s="4">
        <f>ROUND(D39*((100-E39)/100),0)</f>
        <v>0</v>
      </c>
      <c r="I39" t="s">
        <v>85</v>
      </c>
      <c r="J39" s="4">
        <f>IF(AND(C32="Y",C33="D"),MIN((J38/(100-E41))*100,20000),0)</f>
        <v>0</v>
      </c>
      <c r="K39" t="s">
        <v>86</v>
      </c>
    </row>
    <row r="40" spans="2:16" x14ac:dyDescent="0.35">
      <c r="B40" t="s">
        <v>28</v>
      </c>
      <c r="D40" s="4">
        <f>((SUM(I33:K33))-D39)</f>
        <v>0</v>
      </c>
      <c r="E40" s="84">
        <v>1.0569999999999999</v>
      </c>
      <c r="F40" s="4">
        <f t="shared" ref="F40:F41" si="8">ROUND(D40*((100-E40)/100),0)</f>
        <v>0</v>
      </c>
    </row>
    <row r="41" spans="2:16" ht="15" thickBot="1" x14ac:dyDescent="0.4">
      <c r="B41" t="str">
        <f>IF((AND(C32="Y",C33="I")), "Independent undergraduates are not eligible for PLUS Loans","Parent PLUS Loan")</f>
        <v>Parent PLUS Loan</v>
      </c>
      <c r="D41" s="4">
        <f>J39</f>
        <v>0</v>
      </c>
      <c r="E41" s="84">
        <v>4.2279999999999998</v>
      </c>
      <c r="F41" s="4">
        <f t="shared" si="8"/>
        <v>0</v>
      </c>
    </row>
    <row r="42" spans="2:16" ht="19" thickBot="1" x14ac:dyDescent="0.5">
      <c r="B42" s="88" t="s">
        <v>91</v>
      </c>
      <c r="C42" s="88"/>
      <c r="D42" s="89">
        <f>SUM(D39:D41)</f>
        <v>0</v>
      </c>
      <c r="E42" s="88"/>
      <c r="F42" s="89">
        <f>SUM(F39:F41)</f>
        <v>0</v>
      </c>
      <c r="I42" s="9" t="s">
        <v>84</v>
      </c>
      <c r="L42" t="str">
        <f>D38</f>
        <v>Loan</v>
      </c>
      <c r="M42" t="str">
        <f t="shared" ref="M42:N42" si="9">E38</f>
        <v>Orig Fee</v>
      </c>
      <c r="N42" t="str">
        <f t="shared" si="9"/>
        <v>Cash Value</v>
      </c>
    </row>
    <row r="43" spans="2:16" x14ac:dyDescent="0.35">
      <c r="I43" t="str">
        <f>B44</f>
        <v>You also have other funding of</v>
      </c>
      <c r="L43" s="4">
        <f>'Cost of Attendance'!D56</f>
        <v>0</v>
      </c>
      <c r="M43">
        <f>'Cost of Attendance'!E56</f>
        <v>0</v>
      </c>
      <c r="N43" s="4">
        <f>'Cost of Attendance'!F56</f>
        <v>0</v>
      </c>
    </row>
    <row r="44" spans="2:16" x14ac:dyDescent="0.35">
      <c r="B44" t="s">
        <v>90</v>
      </c>
      <c r="D44" s="4">
        <f>-F30</f>
        <v>0</v>
      </c>
      <c r="F44" s="4">
        <f>D44</f>
        <v>0</v>
      </c>
      <c r="I44" t="str">
        <f>B39</f>
        <v>Subsidised Loan adjusted by SAI</v>
      </c>
      <c r="L44" s="4">
        <f>'Cost of Attendance'!D51</f>
        <v>0</v>
      </c>
      <c r="M44">
        <f>'Cost of Attendance'!E51</f>
        <v>1.0569999999999999</v>
      </c>
      <c r="N44" s="4">
        <f>'Cost of Attendance'!F51</f>
        <v>0</v>
      </c>
    </row>
    <row r="45" spans="2:16" x14ac:dyDescent="0.35">
      <c r="I45" t="str">
        <f>B40</f>
        <v>Unsubsidised Loan</v>
      </c>
      <c r="L45" s="4">
        <f>D40</f>
        <v>0</v>
      </c>
      <c r="M45">
        <f>E40</f>
        <v>1.0569999999999999</v>
      </c>
      <c r="N45" s="4" t="e">
        <f>'Cost of Attendance'!F52</f>
        <v>#VALUE!</v>
      </c>
    </row>
    <row r="46" spans="2:16" ht="18.5" x14ac:dyDescent="0.45">
      <c r="B46" s="9" t="s">
        <v>156</v>
      </c>
      <c r="I46" t="str">
        <f>B41</f>
        <v>Parent PLUS Loan</v>
      </c>
      <c r="L46" s="4">
        <f>ROUND((D41),0)</f>
        <v>0</v>
      </c>
      <c r="M46">
        <f>E41</f>
        <v>4.2279999999999998</v>
      </c>
      <c r="N46" s="4">
        <f>'Cost of Attendance'!F53</f>
        <v>0</v>
      </c>
    </row>
    <row r="47" spans="2:16" x14ac:dyDescent="0.35">
      <c r="D47" t="s">
        <v>34</v>
      </c>
      <c r="F47" s="4">
        <f>'Cost of Attendance'!E26</f>
        <v>40820</v>
      </c>
      <c r="I47" s="32" t="s">
        <v>62</v>
      </c>
      <c r="N47" s="4" t="e">
        <f>SUM(N43:N46)</f>
        <v>#VALUE!</v>
      </c>
    </row>
    <row r="48" spans="2:16" x14ac:dyDescent="0.35">
      <c r="B48" t="s">
        <v>88</v>
      </c>
      <c r="F48" s="4" t="e">
        <f>-N47</f>
        <v>#VALUE!</v>
      </c>
    </row>
    <row r="49" spans="1:14" x14ac:dyDescent="0.35">
      <c r="B49" t="s">
        <v>124</v>
      </c>
      <c r="F49" s="4" t="e">
        <f>SUM(F47:F48)</f>
        <v>#VALUE!</v>
      </c>
      <c r="G49" s="4"/>
      <c r="I49" t="s">
        <v>151</v>
      </c>
      <c r="N49" s="4">
        <f>'Cost of Attendance'!D58</f>
        <v>0</v>
      </c>
    </row>
    <row r="51" spans="1:14" ht="15.5" x14ac:dyDescent="0.35">
      <c r="B51" s="108" t="s">
        <v>97</v>
      </c>
      <c r="C51" t="s">
        <v>99</v>
      </c>
      <c r="D51">
        <f>COUNT(B53:B56)</f>
        <v>3</v>
      </c>
    </row>
    <row r="52" spans="1:14" ht="15.5" x14ac:dyDescent="0.35">
      <c r="B52" s="108" t="s">
        <v>98</v>
      </c>
      <c r="C52" t="s">
        <v>100</v>
      </c>
      <c r="D52" s="4">
        <f>ROUND((D42/D51),0)</f>
        <v>0</v>
      </c>
    </row>
    <row r="53" spans="1:14" x14ac:dyDescent="0.35">
      <c r="A53">
        <v>1</v>
      </c>
      <c r="B53" s="109">
        <v>46300</v>
      </c>
      <c r="C53" s="4">
        <f>IF((B53&gt;0),D52,"")</f>
        <v>0</v>
      </c>
      <c r="D53" s="32"/>
    </row>
    <row r="54" spans="1:14" x14ac:dyDescent="0.35">
      <c r="A54">
        <v>2</v>
      </c>
      <c r="B54" s="109">
        <v>46426</v>
      </c>
      <c r="C54" s="4">
        <f>IF((B54&gt;0),D52,"")</f>
        <v>0</v>
      </c>
    </row>
    <row r="55" spans="1:14" x14ac:dyDescent="0.35">
      <c r="A55">
        <v>3</v>
      </c>
      <c r="B55" s="109">
        <v>46506</v>
      </c>
      <c r="C55" s="4">
        <f>IF((B55&gt;0),D52,"")</f>
        <v>0</v>
      </c>
    </row>
    <row r="56" spans="1:14" x14ac:dyDescent="0.35">
      <c r="A56">
        <v>4</v>
      </c>
      <c r="B56" s="109"/>
      <c r="C56" s="4" t="str">
        <f>IF((B56&gt;0),D52,"")</f>
        <v/>
      </c>
    </row>
    <row r="57" spans="1:14" x14ac:dyDescent="0.35">
      <c r="B57" t="s">
        <v>108</v>
      </c>
      <c r="C57" s="4">
        <f>SUM(C53:C56)</f>
        <v>0</v>
      </c>
      <c r="D57" s="4">
        <f>D42-C57</f>
        <v>0</v>
      </c>
      <c r="E57" t="s">
        <v>82</v>
      </c>
    </row>
    <row r="59" spans="1:14" x14ac:dyDescent="0.35">
      <c r="B59" t="s">
        <v>113</v>
      </c>
    </row>
    <row r="60" spans="1:14" x14ac:dyDescent="0.35">
      <c r="B60" s="5" t="s">
        <v>146</v>
      </c>
    </row>
    <row r="61" spans="1:14" x14ac:dyDescent="0.35">
      <c r="B61" s="5" t="s">
        <v>147</v>
      </c>
    </row>
    <row r="62" spans="1:14" x14ac:dyDescent="0.35">
      <c r="B62" s="5" t="s">
        <v>148</v>
      </c>
    </row>
    <row r="63" spans="1:14" x14ac:dyDescent="0.35">
      <c r="B63" s="5" t="s">
        <v>149</v>
      </c>
    </row>
    <row r="64" spans="1:14" x14ac:dyDescent="0.35">
      <c r="B64" s="5" t="s">
        <v>150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6FF79FE9EC4540B085AC5B42156178" ma:contentTypeVersion="13" ma:contentTypeDescription="Create a new document." ma:contentTypeScope="" ma:versionID="1d6400e13d12764fa91d83bce6474dc9">
  <xsd:schema xmlns:xsd="http://www.w3.org/2001/XMLSchema" xmlns:xs="http://www.w3.org/2001/XMLSchema" xmlns:p="http://schemas.microsoft.com/office/2006/metadata/properties" xmlns:ns3="69af1bce-9a32-49ee-8ad4-e11e177be874" xmlns:ns4="5200588c-c3d7-405f-9b2d-67caba4a9313" targetNamespace="http://schemas.microsoft.com/office/2006/metadata/properties" ma:root="true" ma:fieldsID="9e4d37581744a761b393bb77dc526f5e" ns3:_="" ns4:_="">
    <xsd:import namespace="69af1bce-9a32-49ee-8ad4-e11e177be874"/>
    <xsd:import namespace="5200588c-c3d7-405f-9b2d-67caba4a93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f1bce-9a32-49ee-8ad4-e11e177be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0588c-c3d7-405f-9b2d-67caba4a93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8CF725-DA6B-4754-B90E-45B2DC6B64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1378E7-AFB8-4F92-8DDE-8355964E8F17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200588c-c3d7-405f-9b2d-67caba4a9313"/>
    <ds:schemaRef ds:uri="http://purl.org/dc/terms/"/>
    <ds:schemaRef ds:uri="69af1bce-9a32-49ee-8ad4-e11e177be87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8C0384B-DF4C-43CC-911A-E2DA55E3F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af1bce-9a32-49ee-8ad4-e11e177be874"/>
    <ds:schemaRef ds:uri="5200588c-c3d7-405f-9b2d-67caba4a93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Visa Letter</vt:lpstr>
      <vt:lpstr>Cost of Attendance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Fox</dc:creator>
  <cp:lastModifiedBy>Ahmad, Khuram</cp:lastModifiedBy>
  <cp:lastPrinted>2026-06-02T18:21:03Z</cp:lastPrinted>
  <dcterms:created xsi:type="dcterms:W3CDTF">2020-07-26T16:42:06Z</dcterms:created>
  <dcterms:modified xsi:type="dcterms:W3CDTF">2026-07-01T11:32:29Z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0x0101000D6FF79FE9EC4540B085AC5B42156178</vt:lpwstr>
  </property>
</Properties>
</file>