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24226"/>
  <mc:AlternateContent xmlns:mc="http://schemas.openxmlformats.org/markup-compatibility/2006">
    <mc:Choice Requires="x15">
      <x15ac:absPath xmlns:x15ac="http://schemas.microsoft.com/office/spreadsheetml/2010/11/ac" url="https://courtauldinstitute-my.sharepoint.com/personal/itziar_banerjee_courtauld_ac_uk/Documents/Desktop/"/>
    </mc:Choice>
  </mc:AlternateContent>
  <xr:revisionPtr revIDLastSave="2" documentId="8_{B9925F07-B2DB-4256-A47B-78DABD0371DC}" xr6:coauthVersionLast="47" xr6:coauthVersionMax="47" xr10:uidLastSave="{A069D4B9-FD98-433F-B83D-4713423E4971}"/>
  <bookViews>
    <workbookView xWindow="-120" yWindow="-120" windowWidth="29040" windowHeight="15720" tabRatio="676" activeTab="3" xr2:uid="{00000000-000D-0000-FFFF-FFFF00000000}"/>
  </bookViews>
  <sheets>
    <sheet name="Home" sheetId="15" r:id="rId1"/>
    <sheet name="Introduction" sheetId="11" r:id="rId2"/>
    <sheet name="Basis of Costs" sheetId="12" r:id="rId3"/>
    <sheet name="Cost of Attendance" sheetId="1" r:id="rId4"/>
    <sheet name="School DATA" sheetId="14" state="hidden" r:id="rId5"/>
    <sheet name="Visa Letter (Office use only)" sheetId="10" state="hidden" r:id="rId6"/>
  </sheets>
  <definedNames>
    <definedName name="_xlnm._FilterDatabase" localSheetId="3" hidden="1">'Cost of Attendance'!$G$8:$G$10</definedName>
    <definedName name="_xlnm._FilterDatabase" localSheetId="4" hidden="1">'School DATA'!#REF!</definedName>
    <definedName name="_xlnm.Print_Area" localSheetId="3">'Cost of Attendance'!$A$1:$E$99</definedName>
    <definedName name="_xlnm.Print_Area" localSheetId="5">'Visa Letter (Office use only)'!$A$1:$C$45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4" l="1"/>
  <c r="J16" i="1" s="1"/>
  <c r="E7" i="1"/>
  <c r="D54" i="1"/>
  <c r="J42" i="14"/>
  <c r="I42" i="14"/>
  <c r="E25" i="14"/>
  <c r="C56" i="14"/>
  <c r="C57" i="14" s="1"/>
  <c r="D57" i="14"/>
  <c r="J7" i="14"/>
  <c r="I11" i="14"/>
  <c r="I16" i="14"/>
  <c r="J19" i="14"/>
  <c r="J25" i="14"/>
  <c r="D41" i="14"/>
  <c r="E6" i="1"/>
  <c r="E8" i="1"/>
  <c r="C86" i="1"/>
  <c r="D7" i="1"/>
  <c r="G32" i="1" s="1"/>
  <c r="E11" i="14"/>
  <c r="D9" i="1" s="1"/>
  <c r="G41" i="1" s="1"/>
  <c r="H41" i="1" s="1"/>
  <c r="D51" i="1"/>
  <c r="D52" i="1"/>
  <c r="D53" i="1"/>
  <c r="D55" i="1"/>
  <c r="E55" i="1"/>
  <c r="D56" i="1"/>
  <c r="E56" i="1"/>
  <c r="D57" i="1"/>
  <c r="E57" i="1"/>
  <c r="I33" i="1"/>
  <c r="I34" i="1"/>
  <c r="I35" i="1"/>
  <c r="I36" i="1"/>
  <c r="K60" i="1"/>
  <c r="L52" i="1"/>
  <c r="M52" i="1"/>
  <c r="G24" i="1"/>
  <c r="G25" i="1"/>
  <c r="G26" i="1"/>
  <c r="G23" i="1"/>
  <c r="G27" i="1"/>
  <c r="H24" i="1"/>
  <c r="I24" i="1"/>
  <c r="H25" i="1"/>
  <c r="I25" i="1"/>
  <c r="H26" i="1"/>
  <c r="I26" i="1"/>
  <c r="H27" i="1"/>
  <c r="I23" i="1"/>
  <c r="I27" i="1"/>
  <c r="L53" i="1"/>
  <c r="M53" i="1"/>
  <c r="J78" i="1"/>
  <c r="C90" i="1"/>
  <c r="L54" i="1"/>
  <c r="M54" i="1"/>
  <c r="C75" i="1"/>
  <c r="C73" i="1"/>
  <c r="C72" i="1"/>
  <c r="A2" i="10"/>
  <c r="A3" i="10"/>
  <c r="A4" i="10"/>
  <c r="A5" i="10"/>
  <c r="A6" i="10"/>
  <c r="A7" i="10"/>
  <c r="C4" i="1"/>
  <c r="A10" i="10" s="1"/>
  <c r="B15" i="10"/>
  <c r="B16" i="10"/>
  <c r="B17" i="10"/>
  <c r="J15" i="1"/>
  <c r="J13" i="1"/>
  <c r="J14" i="1"/>
  <c r="D10" i="1"/>
  <c r="J41" i="1" s="1"/>
  <c r="M13" i="1"/>
  <c r="M14" i="1"/>
  <c r="A35" i="10" s="1"/>
  <c r="M15" i="1"/>
  <c r="A36" i="10" s="1"/>
  <c r="M16" i="1"/>
  <c r="A37" i="10" s="1"/>
  <c r="B43" i="10"/>
  <c r="E18" i="14"/>
  <c r="E22" i="14" s="1"/>
  <c r="E19" i="14"/>
  <c r="E20" i="14"/>
  <c r="E21" i="14"/>
  <c r="E23" i="14"/>
  <c r="E24" i="14"/>
  <c r="K27" i="1"/>
  <c r="L27" i="1"/>
  <c r="M27" i="1"/>
  <c r="C28" i="1"/>
  <c r="C29" i="1"/>
  <c r="I32" i="1"/>
  <c r="D43" i="1"/>
  <c r="D44" i="1"/>
  <c r="D45" i="1"/>
  <c r="D46" i="1"/>
  <c r="E49" i="1"/>
  <c r="C54" i="1"/>
  <c r="C55" i="1"/>
  <c r="C56" i="1"/>
  <c r="C57" i="1"/>
  <c r="C60" i="1"/>
  <c r="D60" i="1"/>
  <c r="C61" i="1"/>
  <c r="C62" i="1"/>
  <c r="C63" i="1"/>
  <c r="C64" i="1"/>
  <c r="C65" i="1"/>
  <c r="C66" i="1"/>
  <c r="C67" i="1"/>
  <c r="C68" i="1"/>
  <c r="C69" i="1"/>
  <c r="A70" i="1"/>
  <c r="C70" i="1"/>
  <c r="C76" i="1"/>
  <c r="C88" i="1" s="1"/>
  <c r="C95" i="1" s="1"/>
  <c r="C77" i="1"/>
  <c r="G78" i="1"/>
  <c r="C79" i="1"/>
  <c r="C80" i="1"/>
  <c r="G50" i="1"/>
  <c r="H50" i="1" s="1"/>
  <c r="G51" i="1"/>
  <c r="H51" i="1" s="1"/>
  <c r="D72" i="1"/>
  <c r="G52" i="1"/>
  <c r="G53" i="1" s="1"/>
  <c r="H52" i="1"/>
  <c r="D91" i="1"/>
  <c r="N52" i="1"/>
  <c r="O52" i="1"/>
  <c r="E88" i="1" s="1"/>
  <c r="B88" i="1"/>
  <c r="B95" i="1" s="1"/>
  <c r="B28" i="10"/>
  <c r="I28" i="1"/>
  <c r="J16" i="14" l="1"/>
  <c r="H46" i="14" s="1"/>
  <c r="H47" i="14" s="1"/>
  <c r="D42" i="1"/>
  <c r="N54" i="1"/>
  <c r="O54" i="1" s="1"/>
  <c r="C97" i="1"/>
  <c r="N53" i="1"/>
  <c r="O53" i="1" s="1"/>
  <c r="G28" i="1"/>
  <c r="K62" i="1" s="1"/>
  <c r="L13" i="1"/>
  <c r="A34" i="10"/>
  <c r="E57" i="14"/>
  <c r="G42" i="1"/>
  <c r="G43" i="1" s="1"/>
  <c r="D56" i="14"/>
  <c r="E56" i="14" s="1"/>
  <c r="B89" i="1"/>
  <c r="B96" i="1" s="1"/>
  <c r="E89" i="1"/>
  <c r="B29" i="10" s="1"/>
  <c r="H32" i="1"/>
  <c r="H60" i="1" s="1"/>
  <c r="G33" i="1"/>
  <c r="H53" i="1"/>
  <c r="G54" i="1"/>
  <c r="J42" i="1"/>
  <c r="I41" i="1"/>
  <c r="H61" i="1" s="1"/>
  <c r="D62" i="1" s="1"/>
  <c r="N16" i="1"/>
  <c r="B37" i="10" s="1"/>
  <c r="C96" i="1"/>
  <c r="H48" i="14" l="1"/>
  <c r="H49" i="14" s="1"/>
  <c r="H50" i="14" s="1"/>
  <c r="H6" i="1" s="1"/>
  <c r="B90" i="1"/>
  <c r="E90" i="1"/>
  <c r="G44" i="1"/>
  <c r="G45" i="1" s="1"/>
  <c r="H43" i="1"/>
  <c r="H54" i="1"/>
  <c r="G55" i="1"/>
  <c r="H33" i="1"/>
  <c r="G34" i="1"/>
  <c r="H42" i="1"/>
  <c r="J43" i="1"/>
  <c r="I42" i="1"/>
  <c r="H62" i="1" s="1"/>
  <c r="D63" i="1" s="1"/>
  <c r="D61" i="1"/>
  <c r="H5" i="1" l="1"/>
  <c r="C92" i="1"/>
  <c r="C93" i="1"/>
  <c r="B30" i="10"/>
  <c r="E91" i="1"/>
  <c r="H44" i="1"/>
  <c r="G56" i="1"/>
  <c r="H56" i="1" s="1"/>
  <c r="H55" i="1"/>
  <c r="H66" i="1" s="1"/>
  <c r="D67" i="1" s="1"/>
  <c r="J44" i="1"/>
  <c r="I43" i="1"/>
  <c r="H63" i="1" s="1"/>
  <c r="D64" i="1" s="1"/>
  <c r="G36" i="1"/>
  <c r="H36" i="1" s="1"/>
  <c r="G35" i="1"/>
  <c r="H35" i="1" s="1"/>
  <c r="H45" i="1"/>
  <c r="H34" i="1"/>
  <c r="I37" i="1"/>
  <c r="H68" i="1" s="1"/>
  <c r="D69" i="1" s="1"/>
  <c r="N14" i="1" l="1"/>
  <c r="B35" i="10" s="1"/>
  <c r="N15" i="1"/>
  <c r="B36" i="10" s="1"/>
  <c r="B31" i="10"/>
  <c r="N13" i="1"/>
  <c r="B34" i="10" s="1"/>
  <c r="J45" i="1"/>
  <c r="I45" i="1" s="1"/>
  <c r="H65" i="1" s="1"/>
  <c r="D66" i="1" s="1"/>
  <c r="I44" i="1"/>
  <c r="H64" i="1" s="1"/>
  <c r="D65" i="1" s="1"/>
  <c r="B38" i="10" l="1"/>
  <c r="H67" i="1"/>
  <c r="H69" i="1" l="1"/>
  <c r="C84" i="1"/>
  <c r="C83" i="1"/>
  <c r="D68" i="1"/>
  <c r="D70" i="1" l="1"/>
  <c r="K59" i="1"/>
  <c r="K61" i="1" s="1"/>
  <c r="G77" i="1"/>
  <c r="C78" i="1" s="1"/>
  <c r="K63" i="1" l="1"/>
  <c r="H75" i="1" l="1"/>
  <c r="G87" i="1"/>
  <c r="L66" i="1"/>
  <c r="N61" i="1"/>
  <c r="A88" i="1" l="1"/>
  <c r="H87" i="1"/>
  <c r="E76" i="1"/>
  <c r="M63" i="1"/>
  <c r="L65" i="1" s="1"/>
  <c r="L67" i="1" s="1"/>
  <c r="D76" i="1"/>
  <c r="G88" i="1" l="1"/>
  <c r="N65" i="1"/>
  <c r="H76" i="1"/>
  <c r="K73" i="1"/>
  <c r="M67" i="1" l="1"/>
  <c r="K70" i="1" s="1"/>
  <c r="E77" i="1"/>
  <c r="D77" i="1"/>
  <c r="H88" i="1"/>
  <c r="A89" i="1"/>
  <c r="H78" i="1" l="1"/>
  <c r="K75" i="1"/>
  <c r="G89" i="1" s="1"/>
  <c r="I77" i="1"/>
  <c r="E78" i="1" s="1"/>
  <c r="A90" i="1" l="1"/>
  <c r="H89" i="1"/>
  <c r="H90" i="1" s="1"/>
  <c r="G90" i="1"/>
  <c r="A91" i="1" s="1"/>
  <c r="D79" i="1"/>
  <c r="H79" i="1"/>
  <c r="D80" i="1" s="1"/>
</calcChain>
</file>

<file path=xl/sharedStrings.xml><?xml version="1.0" encoding="utf-8"?>
<sst xmlns="http://schemas.openxmlformats.org/spreadsheetml/2006/main" count="396" uniqueCount="362">
  <si>
    <t>The Courtauld</t>
  </si>
  <si>
    <t>Cost of Attendance - How to use this spreadsheet</t>
  </si>
  <si>
    <t>This spreadsheet is to help you and us</t>
  </si>
  <si>
    <t>a. To make the process as speedy and as simple as possible</t>
  </si>
  <si>
    <t>b. To cut out the risk of your application being rejected and you having to start again</t>
  </si>
  <si>
    <t>You should also use the flowchart from our website to see the order in which you need to do each stage of your application</t>
  </si>
  <si>
    <t>There is nothing which tells the school that everything the applicant needs to do has been completed.</t>
  </si>
  <si>
    <t>There is nothing which tells the applicant that everything they need to do has been completed.</t>
  </si>
  <si>
    <t>Information sent by the US Dept of Ed to schools also includes all those who may not apply or enroll.</t>
  </si>
  <si>
    <t>There are some documents which we have to receive before we can even start to certify or complete your loans</t>
  </si>
  <si>
    <t>You must complete and send us the spreadsheet "Cost of Attendance" tab</t>
  </si>
  <si>
    <t>It is used to help you and the school in several ways</t>
  </si>
  <si>
    <t>1. You tell us what we need to know about you before we can start to process your application (Section 1)</t>
  </si>
  <si>
    <t>2. You can re-calculate your costs (Sections 2 &amp; 3) and if needed you can change our values shown in blue</t>
  </si>
  <si>
    <t>3. It calculates how much you need and are eligible to borrow (Section 4)</t>
  </si>
  <si>
    <t>4. It tells you whether the school will accept the costs you have proposed (Section 5)</t>
  </si>
  <si>
    <t>5. It tells you how much of your loan will be retained by the government as origination fee</t>
  </si>
  <si>
    <t>6. It calculates the cost of the originations fees and increases the PLUS loan to cover them</t>
  </si>
  <si>
    <t>7. You tell us how much you want to borrow (Section 6) You adjust the figures shown in blue</t>
  </si>
  <si>
    <t>For your information …</t>
  </si>
  <si>
    <t>The Basis of Costs tab shows you how we calculated the Cost of Attendance</t>
  </si>
  <si>
    <t>To ensure that your application is as smooth as possible, you must complete the Cost of Attendance spreadsheet and the checklist</t>
  </si>
  <si>
    <t>We will start the eligibility checking once all required documents as per The Courtauld website's US Loans page have been received</t>
  </si>
  <si>
    <t>How these Costs are Calculated</t>
  </si>
  <si>
    <t>Exchange Rate</t>
  </si>
  <si>
    <t>The exchange rate is set by a review of High Street banks and selecting the worst possible rate and incrementing it by the worst possible commission. This is sufficient to enable loans to be calculated and originated. The rate will not be re-assessed until after the end of the registration period. Should the rate change unfavourably once the course has started, then the whole Cost of Attendance can be reviewed again. .</t>
  </si>
  <si>
    <t>Room - Rent</t>
  </si>
  <si>
    <t>First, Check the prices of all halls of residence and select the highest below self-contained suite. Second, search for the average price of a room in a shared flat and for a studio flat in the close area (use the web and general estate agent searches). Select the higher average price of the two scenarios.</t>
  </si>
  <si>
    <t>Books &amp; Copying</t>
  </si>
  <si>
    <t>The cost of a single course pack (for the term) applied for each week which is more than sufficient for book purchase.</t>
  </si>
  <si>
    <t>Travel</t>
  </si>
  <si>
    <t>Normal cost of one return journey for 7 days or a weekly travel card covering the area, whichever is the greater</t>
  </si>
  <si>
    <t>2 return flights</t>
  </si>
  <si>
    <t>Cost of two BA return flights Heathrow/LA  travelling at weekends and rounded up by £100 to nearest £100</t>
  </si>
  <si>
    <t>PC</t>
  </si>
  <si>
    <t>Cost of a laptop plus a printer</t>
  </si>
  <si>
    <t>Visa application</t>
  </si>
  <si>
    <t>Visa costs plus cost of midweek return next day flight US New York to LA and rounded</t>
  </si>
  <si>
    <t>PLUS Loan</t>
  </si>
  <si>
    <t>The balance of the cost of attendance after Sub &amp; Unsub and grossed up to include Origination Fee  on Sub &amp; Unsub added to PLUS loan needs and then increased again to include the origination fee charged on PLUS Loans as quoted on Direct Lending website, and reduced by any rebate offered by USDE. This ensures that the cash you receive, after foreign exchange and deduction of origination fees, is the sterling cost of attendance.</t>
  </si>
  <si>
    <t>Government Fees</t>
  </si>
  <si>
    <t xml:space="preserve">Your government takes an origination fee. </t>
  </si>
  <si>
    <t>Year Dates</t>
  </si>
  <si>
    <t>These dates are set to minimise the risk of your loan being rejected by overlapping a previous year.</t>
  </si>
  <si>
    <t>Postgraduates - The loan year will be 365 days</t>
  </si>
  <si>
    <t>Undergraduates - The loan year will be start of academic year to end of final term</t>
  </si>
  <si>
    <t>Disbursement Dates</t>
  </si>
  <si>
    <t>WARNING - THESE DATES ARE EXPECTED AND NOT ACTUAL</t>
  </si>
  <si>
    <t>Cost of Attendance</t>
  </si>
  <si>
    <t>&amp; Loan Calculation</t>
  </si>
  <si>
    <t>RETAIL (Main Street) RATE - NOT INTERBANK RATE</t>
  </si>
  <si>
    <t>Max CoA before Interview</t>
  </si>
  <si>
    <t>This form and exchange rates revised</t>
  </si>
  <si>
    <t>Max Loan after grossing up for Fees adjustments</t>
  </si>
  <si>
    <t>Worst possible rate for Retail US Dollar Rate - best guess</t>
  </si>
  <si>
    <t>Next review date for Exchange Rate</t>
  </si>
  <si>
    <t>Depend</t>
  </si>
  <si>
    <t>Choice</t>
  </si>
  <si>
    <t>Year</t>
  </si>
  <si>
    <t>No of Weeks for Undergraduates</t>
  </si>
  <si>
    <t>I</t>
  </si>
  <si>
    <t>N</t>
  </si>
  <si>
    <t>No of Weeks for Postrgraduates</t>
  </si>
  <si>
    <t>D</t>
  </si>
  <si>
    <t>Y</t>
  </si>
  <si>
    <t>3 or above</t>
  </si>
  <si>
    <t>ONLY ENTER DATES</t>
  </si>
  <si>
    <t>Section 1</t>
  </si>
  <si>
    <t>COMPLETE ALL YELLOW BOXES ONLY</t>
  </si>
  <si>
    <t>Private Loan</t>
  </si>
  <si>
    <t>STANDING DATA</t>
  </si>
  <si>
    <t>Loan Dates</t>
  </si>
  <si>
    <t>DISBURSEMENTS</t>
  </si>
  <si>
    <t>Disburse Dates</t>
  </si>
  <si>
    <t>VALUES ARE AUTOMATIC</t>
  </si>
  <si>
    <t>Government Loan</t>
  </si>
  <si>
    <t>Undergrads</t>
  </si>
  <si>
    <t>Start</t>
  </si>
  <si>
    <t>Family Name (Surname)</t>
  </si>
  <si>
    <t>End</t>
  </si>
  <si>
    <t>put 2nd date</t>
  </si>
  <si>
    <t>Given Name (Forename)</t>
  </si>
  <si>
    <t>Postgrads</t>
  </si>
  <si>
    <t>put 3rd date or blank</t>
  </si>
  <si>
    <t>Address Line 1</t>
  </si>
  <si>
    <t>put 4th date or blank</t>
  </si>
  <si>
    <t>Address Line 2</t>
  </si>
  <si>
    <t>Address Line 3</t>
  </si>
  <si>
    <t>Address Line 4</t>
  </si>
  <si>
    <t>Zipcode / Postcode</t>
  </si>
  <si>
    <t>Email</t>
  </si>
  <si>
    <t>MAXIMUM LOAN LEVELS FOR THIS STU</t>
  </si>
  <si>
    <t>MAXIMUM LOAN LEVELS AVAILABLE</t>
  </si>
  <si>
    <t>Date of Birth dd/mm/yyyy</t>
  </si>
  <si>
    <t>Sub</t>
  </si>
  <si>
    <t>Unsub Depend</t>
  </si>
  <si>
    <t>Unsub Ind</t>
  </si>
  <si>
    <t>Full Social Security Number</t>
  </si>
  <si>
    <t>postgraduates</t>
  </si>
  <si>
    <t>Application/Student Number</t>
  </si>
  <si>
    <t>Undergraduate1</t>
  </si>
  <si>
    <t>Full name of your course</t>
  </si>
  <si>
    <t>Undergraduate2</t>
  </si>
  <si>
    <t>Section 2</t>
  </si>
  <si>
    <t>Undergraduate&gt;2</t>
  </si>
  <si>
    <t>Please answer each question in this section</t>
  </si>
  <si>
    <t xml:space="preserve">Is this course for BA? </t>
  </si>
  <si>
    <t>Law</t>
  </si>
  <si>
    <t>n</t>
  </si>
  <si>
    <t>Max Loan Available</t>
  </si>
  <si>
    <t>From July 2012 there is no Subsidised Loan for postgraduates</t>
  </si>
  <si>
    <t>What will be your year of study - select from the dropbox only</t>
  </si>
  <si>
    <t>CONVERTING FEES AND CONTRIBUTIONS TO DOLLARS</t>
  </si>
  <si>
    <t>Undergrad Courses which could get Postgrad funding</t>
  </si>
  <si>
    <t>What does your SAR say for "dependancy status" Only answer I or D</t>
  </si>
  <si>
    <t>Rate</t>
  </si>
  <si>
    <t xml:space="preserve">Convert £ </t>
  </si>
  <si>
    <t>Already $</t>
  </si>
  <si>
    <t>Actual Loans</t>
  </si>
  <si>
    <t>What is you SAI Student Aid Index (top right of front page of SAR) Even zero must be entered</t>
  </si>
  <si>
    <t>Fees</t>
  </si>
  <si>
    <t>Enter the Tuition Fees - only write the figures - don't type in the £ sign as it is already formatted</t>
  </si>
  <si>
    <t>Sponsors</t>
  </si>
  <si>
    <t>How much of the tuition fees will be paid to your school by a sponsor (only enter in the $ or £ box - not both)</t>
  </si>
  <si>
    <t>School Aid</t>
  </si>
  <si>
    <t>How much has already been awarded by this school as a Scholarship or Financial Aid</t>
  </si>
  <si>
    <t>Other Aid £UK</t>
  </si>
  <si>
    <t>How much has been awarded by any other Scholarship or Financial Aid in the UK</t>
  </si>
  <si>
    <t>Other Aid $USA</t>
  </si>
  <si>
    <t>How much has been awarded by any other Scholarship or Financial Aid from the USA</t>
  </si>
  <si>
    <t>Deduct from "Need"</t>
  </si>
  <si>
    <t>Is this application for a Private loan (Sallie Mae), please select from this drop-box</t>
  </si>
  <si>
    <t>CONVERTING WEEKLY COSTS TO DOLLARS</t>
  </si>
  <si>
    <t xml:space="preserve">Section 3 </t>
  </si>
  <si>
    <t>Weekly Essential Costs - School Max Estimates - you can adjust the values but may be asked for proofs of your adjusted costs</t>
  </si>
  <si>
    <t>UG Weeks</t>
  </si>
  <si>
    <t>UG Costs</t>
  </si>
  <si>
    <t>PG Costs</t>
  </si>
  <si>
    <t>PG Weeke</t>
  </si>
  <si>
    <t>School's Estimate per week</t>
  </si>
  <si>
    <t>Your Request</t>
  </si>
  <si>
    <t>Board - Food and Power</t>
  </si>
  <si>
    <t>Travelcard/Transport Costs</t>
  </si>
  <si>
    <t>Personal</t>
  </si>
  <si>
    <t>CONVERTING ANNUAL COSTS TO DOLLARS</t>
  </si>
  <si>
    <t>Origination Fees</t>
  </si>
  <si>
    <t>Section 4</t>
  </si>
  <si>
    <t>Single Costs for the year - you may adjust or add extras in these columns</t>
  </si>
  <si>
    <t>School's Estimate per Year</t>
  </si>
  <si>
    <t>you may be asked for proof of your extra needs</t>
  </si>
  <si>
    <t>% Rate</t>
  </si>
  <si>
    <t>Interest</t>
  </si>
  <si>
    <t>Final</t>
  </si>
  <si>
    <t>Actual</t>
  </si>
  <si>
    <t>Cost of 2 return flights - write here - only in £</t>
  </si>
  <si>
    <t>Loan Type</t>
  </si>
  <si>
    <t>Rebate</t>
  </si>
  <si>
    <t>Factor</t>
  </si>
  <si>
    <t>Visa Application and flights to interview</t>
  </si>
  <si>
    <t>Sub Orig Fee</t>
  </si>
  <si>
    <t>PC and Printer</t>
  </si>
  <si>
    <t>Unsub Orig Fee</t>
  </si>
  <si>
    <t>PLUS Orig fee</t>
  </si>
  <si>
    <t>FINAL CALCULATIONS</t>
  </si>
  <si>
    <t>SUB NEED</t>
  </si>
  <si>
    <t>UNSUB NEED</t>
  </si>
  <si>
    <t>ORIG FEE NOT INC</t>
  </si>
  <si>
    <t>ORIG FEE INC</t>
  </si>
  <si>
    <t>Section 5</t>
  </si>
  <si>
    <t>YOUR ESTIMATED FINAL COSTS &amp; US ED DEPT MAXIMUM LOAN ELIGIBILITY - YOU MAY BORROW LESS IF YOU CHOOSE</t>
  </si>
  <si>
    <t>Requested Cost of Attendance (Values rounded)</t>
  </si>
  <si>
    <t>$</t>
  </si>
  <si>
    <t>CoA</t>
  </si>
  <si>
    <t>Tuition Fees</t>
  </si>
  <si>
    <t>Less EFC</t>
  </si>
  <si>
    <t>Room</t>
  </si>
  <si>
    <t>Need for Sub</t>
  </si>
  <si>
    <t>Board</t>
  </si>
  <si>
    <t>Sub available</t>
  </si>
  <si>
    <t>Books</t>
  </si>
  <si>
    <t>Sub Calc</t>
  </si>
  <si>
    <t>Need for Unsub</t>
  </si>
  <si>
    <t>Other Essential Costs</t>
  </si>
  <si>
    <t>Unsub available</t>
  </si>
  <si>
    <t>Total Cost of Attendance</t>
  </si>
  <si>
    <t>Unsub Calc</t>
  </si>
  <si>
    <t>Adjust for Sponsorship, Awards or other Aid</t>
  </si>
  <si>
    <t>Total Requested Cost of Attendance</t>
  </si>
  <si>
    <t>PLUS NEED</t>
  </si>
  <si>
    <t>Need for PLUS</t>
  </si>
  <si>
    <t>Maximum Govt. Loan you can borrow</t>
  </si>
  <si>
    <t>PLUS Available</t>
  </si>
  <si>
    <t>You could have borrowed these Govt. Loans</t>
  </si>
  <si>
    <t>Subsidised - Adjusted by EFC</t>
  </si>
  <si>
    <t>PLUS Calc</t>
  </si>
  <si>
    <t>Unsubsudised</t>
  </si>
  <si>
    <t>Indep Undergrad Score</t>
  </si>
  <si>
    <t>Independent Undergraduates are not eligible for a PLUS Loan</t>
  </si>
  <si>
    <t>Total Eligible before adjustment for Fees</t>
  </si>
  <si>
    <t xml:space="preserve">Section 6 </t>
  </si>
  <si>
    <t>SCHOOL COMMENT ON YOUR PROPOSED COSTS &amp; ELIGIBLE LOANS</t>
  </si>
  <si>
    <t>Qualify 1</t>
  </si>
  <si>
    <t>THE COSTS YOU HAVE SUGGESTED ARE TOO HIGH TO BE ACCEPTABLE</t>
  </si>
  <si>
    <t>Qualify 2</t>
  </si>
  <si>
    <t>Provide evidence of your needs for any increase to  PLUS to be considered or borrow less in Section 6</t>
  </si>
  <si>
    <t>OK Statement</t>
  </si>
  <si>
    <t>You are allowed to borrow up to the values above</t>
  </si>
  <si>
    <t>Section 7</t>
  </si>
  <si>
    <t>Max Loans Allowed Adjusted for Fees</t>
  </si>
  <si>
    <t>After Origination Fees You Get</t>
  </si>
  <si>
    <t>Government Fees *** Deducted</t>
  </si>
  <si>
    <t>State how much you would like to borrow for each loan type - adjust the figures in blue in the "Your Request" column</t>
  </si>
  <si>
    <t>Your Request  -  you may reduce these values</t>
  </si>
  <si>
    <t>Total (after rounding, may be slightly higher than total of section 4)</t>
  </si>
  <si>
    <t>OK Statement 1</t>
  </si>
  <si>
    <t>We will check everything you have provided with the USDE data and regulations</t>
  </si>
  <si>
    <t>Section 8</t>
  </si>
  <si>
    <t>OK Statement 2</t>
  </si>
  <si>
    <t>If everything is correct we will originate your loans and issue a certificate for visa application</t>
  </si>
  <si>
    <t>You must provide evidence of your costs/needs before we can process your application</t>
  </si>
  <si>
    <t xml:space="preserve">Section 9 Government Fees </t>
  </si>
  <si>
    <t>FOR SCHOOL USE ONLY</t>
  </si>
  <si>
    <t>DON'T TOUCH THE BLUE BOXES - They are calculations going to other parts of this workbook</t>
  </si>
  <si>
    <t>School to Complete ONLY the yellow boxes</t>
  </si>
  <si>
    <t>SCHOOL INFORMATION</t>
  </si>
  <si>
    <t>MONEY INFORMATION</t>
  </si>
  <si>
    <t>Academic Year Calculations</t>
  </si>
  <si>
    <t>Calculates max allowed before prroof of costs needed</t>
  </si>
  <si>
    <t>Which Academic Year is this</t>
  </si>
  <si>
    <t>Year format yyyy/yy</t>
  </si>
  <si>
    <t>Complete this Fee Estimate</t>
  </si>
  <si>
    <t>Start day of the year</t>
  </si>
  <si>
    <t>Avg highest Tuition Fee charged in London for MSc</t>
  </si>
  <si>
    <t>When did you complete this form</t>
  </si>
  <si>
    <t>Complete these dates</t>
  </si>
  <si>
    <t>Complete these Cost Estimates which are PER WEEK</t>
  </si>
  <si>
    <t>Calculates school CoA</t>
  </si>
  <si>
    <t>When do think your undergraduates start to arrive (occupy their bedroom)</t>
  </si>
  <si>
    <t>Undergrad weeks</t>
  </si>
  <si>
    <t>What is the highest charge for your halls of residence per week</t>
  </si>
  <si>
    <r>
      <t xml:space="preserve">What is the date of your last Bachelors' graduation ceremony </t>
    </r>
    <r>
      <rPr>
        <b/>
        <u/>
        <sz val="10"/>
        <color indexed="10"/>
        <rFont val="Times New Roman"/>
        <family val="1"/>
      </rPr>
      <t>in the summer</t>
    </r>
    <r>
      <rPr>
        <sz val="10"/>
        <color indexed="10"/>
        <rFont val="Times New Roman"/>
        <family val="1"/>
      </rPr>
      <t xml:space="preserve"> </t>
    </r>
  </si>
  <si>
    <t>What is your best estimate at the high-end going rate for a room per week in the area</t>
  </si>
  <si>
    <t>AND/OR</t>
  </si>
  <si>
    <t>official end of summer term - ONLY if earlier</t>
  </si>
  <si>
    <t>Postgrad weeks</t>
  </si>
  <si>
    <t>What is your best estimate for electricity/gas for a week (use our own home direct debits?)</t>
  </si>
  <si>
    <t>What is your normal family shopping for a week and adjust for one adult</t>
  </si>
  <si>
    <t>What will be the dates your students get their disbursements</t>
  </si>
  <si>
    <t>What is your best estimate for book buying or photocopying or course packs per week</t>
  </si>
  <si>
    <t>Your dates in COD might be earlier [to allow processing time]</t>
  </si>
  <si>
    <t>What is your best estimate at travel costs for the area for a week</t>
  </si>
  <si>
    <t>Only put in the date against each term</t>
  </si>
  <si>
    <t>What is your estimate for enough pocket money per week</t>
  </si>
  <si>
    <t>Do NOT put in a date where you don't have a disbursement</t>
  </si>
  <si>
    <t>Payment periods - terms</t>
  </si>
  <si>
    <t>Term 1 [could be autumn or 1st semester]</t>
  </si>
  <si>
    <t>Look up these costs on the web</t>
  </si>
  <si>
    <t>Term 2 [could be spring - after Christmas - or 2nd semester]</t>
  </si>
  <si>
    <t>midweek return flights with BA from  Los Angeles to London</t>
  </si>
  <si>
    <t>Term 3 [could be summer - after Easter]</t>
  </si>
  <si>
    <t>midweek return flight for visa interview Los Angeles to New York</t>
  </si>
  <si>
    <t>Term 4 [could be the writing up term after May/June exams if you have such a term]</t>
  </si>
  <si>
    <t>Powerful laptop and printer [Apple MacBook  - PC World March 2022]</t>
  </si>
  <si>
    <t>PG T1</t>
  </si>
  <si>
    <t>What are the initials of your staff allowed to sign visa letters USE BLOCK CAPS</t>
  </si>
  <si>
    <t>PG T2</t>
  </si>
  <si>
    <t>Add any other essential costs - write here - only in £</t>
  </si>
  <si>
    <t>Only put in the staff you authorise</t>
  </si>
  <si>
    <t>PG T3</t>
  </si>
  <si>
    <t>Do not put in initials where you don't have staff</t>
  </si>
  <si>
    <t>PG T4</t>
  </si>
  <si>
    <t>person 1</t>
  </si>
  <si>
    <t>AH</t>
  </si>
  <si>
    <t>person 2</t>
  </si>
  <si>
    <t>KA</t>
  </si>
  <si>
    <t>person 3</t>
  </si>
  <si>
    <t>LD</t>
  </si>
  <si>
    <t>Go to the banks near you and collect their exchange rates</t>
  </si>
  <si>
    <t>Calculates exchange rate for CoA</t>
  </si>
  <si>
    <t>person 4</t>
  </si>
  <si>
    <t>SP</t>
  </si>
  <si>
    <t>When did you do this</t>
  </si>
  <si>
    <t>Write in the date</t>
  </si>
  <si>
    <t>LONDON</t>
  </si>
  <si>
    <t>person 5</t>
  </si>
  <si>
    <t>RB</t>
  </si>
  <si>
    <t>When - long after the first disbursement - will you review the exchange rate</t>
  </si>
  <si>
    <t>person 6</t>
  </si>
  <si>
    <t>If any bank showed a commission rate then enter it against that bank</t>
  </si>
  <si>
    <t>Bank Number</t>
  </si>
  <si>
    <t>Commission %</t>
  </si>
  <si>
    <t>person 7</t>
  </si>
  <si>
    <t>Do not write the name of any bank</t>
  </si>
  <si>
    <t>XE</t>
  </si>
  <si>
    <t>person 8</t>
  </si>
  <si>
    <t>Post Office</t>
  </si>
  <si>
    <t>M&amp;S</t>
  </si>
  <si>
    <t>These are 01 Oct 2014 - If they've changed, go to the USDE website and check origination/rebates for each loan type and adjust below</t>
  </si>
  <si>
    <t>Bank 4</t>
  </si>
  <si>
    <t>Be absolutely sure you are looking at the right year</t>
  </si>
  <si>
    <t>Calculates gross loan to cash</t>
  </si>
  <si>
    <t>only 6 banks would accept or exchange dollars</t>
  </si>
  <si>
    <t>Bank 5</t>
  </si>
  <si>
    <t>Rate per https://studentaid.gov/understand-aid/types/loans/interest-rates</t>
  </si>
  <si>
    <t>Origination Fee %</t>
  </si>
  <si>
    <t>Rebate %</t>
  </si>
  <si>
    <t>Bank 6</t>
  </si>
  <si>
    <t>Subsidised Loans</t>
  </si>
  <si>
    <t>Bank 7</t>
  </si>
  <si>
    <t>Unsubsidised Loans</t>
  </si>
  <si>
    <t>Bank 8</t>
  </si>
  <si>
    <t>PLUS Loans</t>
  </si>
  <si>
    <t>Bank 9</t>
  </si>
  <si>
    <t>Worst Fee Rate</t>
  </si>
  <si>
    <t>Bank 10</t>
  </si>
  <si>
    <t>Worst case rates</t>
  </si>
  <si>
    <t>These are 15/16 - If you know levels have changed, go to the USDE website and find the loan levels for each type of student</t>
  </si>
  <si>
    <t>The information in the FSA Handbook is confusing so use another site to confirm details</t>
  </si>
  <si>
    <t>Worst combination goes to the CoA</t>
  </si>
  <si>
    <t>Loan values eligible</t>
  </si>
  <si>
    <t>Subsidised</t>
  </si>
  <si>
    <t>Dependent Unsubsidised</t>
  </si>
  <si>
    <t>Independent Unsubsidised</t>
  </si>
  <si>
    <t xml:space="preserve">Worst case costs at worst exchange </t>
  </si>
  <si>
    <t>Select</t>
  </si>
  <si>
    <t>Year 1</t>
  </si>
  <si>
    <t>and inflated by 10%</t>
  </si>
  <si>
    <t xml:space="preserve">Federal Direct Subsidised Loan </t>
  </si>
  <si>
    <t>Year 2</t>
  </si>
  <si>
    <t xml:space="preserve">Federal Direct Unsubsidised Loan </t>
  </si>
  <si>
    <t>Year 3</t>
  </si>
  <si>
    <t>plus worst origination rates</t>
  </si>
  <si>
    <t>Federal Direct PLUS (Parent/Graduate) Loans.</t>
  </si>
  <si>
    <t>Year 4</t>
  </si>
  <si>
    <t>Max Loans allowed before review</t>
  </si>
  <si>
    <t>Calculating fields for late starters - do not adjust these fields</t>
  </si>
  <si>
    <t>weeks</t>
  </si>
  <si>
    <t>PG</t>
  </si>
  <si>
    <t>UG</t>
  </si>
  <si>
    <t>Notification of Student Loan</t>
  </si>
  <si>
    <t xml:space="preserve">This is to certify that </t>
  </si>
  <si>
    <t>Student Name</t>
  </si>
  <si>
    <t>Date of Birth</t>
  </si>
  <si>
    <t>Student/Applicant ID</t>
  </si>
  <si>
    <t xml:space="preserve">Has been accepted in a degree-granting programme(or otherwise eligible programme) at our School </t>
  </si>
  <si>
    <t xml:space="preserve">We participate in the William D. Ford Federal Direct Loan (Direct Loan) Program administered by the United States (U.S.) Department of Education. 
Eligible students from the U.S. who attend our school may borrow through the Direct Loan Program. 
Undergraduate students and graduate/professional students may receive Direct Subsidized Loans and Direct Unsubsidized Loans.
Graduate/professional students and parents may receive Direct PLUS Loans. 
</t>
  </si>
  <si>
    <t>Based on our calculation of the student’s financial needs and Direct Loan eligibility for the loan period</t>
  </si>
  <si>
    <t>Start Date</t>
  </si>
  <si>
    <t>End Date</t>
  </si>
  <si>
    <t xml:space="preserve"> The student (or, in some cases, the student’s parent) will receive the following Direct Loan awards</t>
  </si>
  <si>
    <t>which come from the US Dept of Education and are administered through this school.</t>
  </si>
  <si>
    <t>Loan Amount</t>
  </si>
  <si>
    <t>Direct Subsidized Loan</t>
  </si>
  <si>
    <t>Direct Unsubsidized Loan</t>
  </si>
  <si>
    <t>Direct PLUS Loan</t>
  </si>
  <si>
    <t>Total</t>
  </si>
  <si>
    <t>The disbursement dates are as follows:</t>
  </si>
  <si>
    <t>This certificate has been issued by Alex Hawkins at The Courtauld Institute of Art, and can be verified by emailing alex.hawkins@courtauld.ac.uk</t>
  </si>
  <si>
    <t>Date Issued</t>
  </si>
  <si>
    <r>
      <rPr>
        <b/>
        <u/>
        <sz val="11"/>
        <rFont val="Calibri"/>
        <family val="2"/>
      </rPr>
      <t xml:space="preserve">Please note: </t>
    </r>
    <r>
      <rPr>
        <sz val="11"/>
        <rFont val="Calibri"/>
        <family val="2"/>
      </rPr>
      <t xml:space="preserve">This is a summary of loans originated, however this </t>
    </r>
    <r>
      <rPr>
        <b/>
        <u/>
        <sz val="11"/>
        <rFont val="Calibri"/>
        <family val="2"/>
      </rPr>
      <t>is not</t>
    </r>
    <r>
      <rPr>
        <sz val="11"/>
        <rFont val="Calibri"/>
        <family val="2"/>
      </rPr>
      <t xml:space="preserve"> a guarantee of Federal student loans</t>
    </r>
  </si>
  <si>
    <t>2025/26</t>
  </si>
  <si>
    <t>Visa £524 and NHS charge £776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</si>
</sst>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
    <numFmt numFmtId="165" formatCode="[$$-409]#,##0"/>
    <numFmt numFmtId="166" formatCode="&quot;£&quot;#,##0.00"/>
    <numFmt numFmtId="167" formatCode="[$$-409]#,##0.00"/>
    <numFmt numFmtId="168" formatCode="#,##0_ ;\-#,##0\ "/>
    <numFmt numFmtId="169" formatCode="[$$-409]#,##0;[Red][$$-409]#,##0"/>
    <numFmt numFmtId="170" formatCode="[$-F800]dddd\,\ mmmm\ dd\,\ yyyy"/>
    <numFmt numFmtId="171" formatCode="[$-809]d\ mmmm\ yyyy;@"/>
    <numFmt numFmtId="172" formatCode="[$$-409]#,##0.00;[Red][$$-409]#,##0.00"/>
    <numFmt numFmtId="173" formatCode="0.0000"/>
    <numFmt numFmtId="174" formatCode="0.0%"/>
    <numFmt numFmtId="175" formatCode="0.0000%"/>
  </numFmts>
  <fonts count="67" x14ac:knownFonts="1">
    <font>
      <sz val="10"/>
      <name val="Arial"/>
    </font>
    <font>
      <sz val="10"/>
      <name val="Arial"/>
    </font>
    <font>
      <sz val="8"/>
      <name val="Arial"/>
      <family val="2"/>
    </font>
    <font>
      <sz val="10"/>
      <color indexed="12"/>
      <name val="Arial"/>
      <family val="2"/>
    </font>
    <font>
      <sz val="10"/>
      <name val="Arial"/>
      <family val="2"/>
    </font>
    <font>
      <u/>
      <sz val="7.5"/>
      <color indexed="12"/>
      <name val="Arial"/>
      <family val="2"/>
    </font>
    <font>
      <sz val="10"/>
      <name val="Times New Roman"/>
      <family val="1"/>
    </font>
    <font>
      <b/>
      <sz val="10"/>
      <color indexed="10"/>
      <name val="Times New Roman"/>
      <family val="1"/>
    </font>
    <font>
      <b/>
      <sz val="12"/>
      <color indexed="10"/>
      <name val="Times New Roman"/>
      <family val="1"/>
    </font>
    <font>
      <b/>
      <sz val="12"/>
      <color indexed="12"/>
      <name val="Times New Roman"/>
      <family val="1"/>
    </font>
    <font>
      <sz val="10"/>
      <color indexed="10"/>
      <name val="Times New Roman"/>
      <family val="1"/>
    </font>
    <font>
      <sz val="10"/>
      <color indexed="12"/>
      <name val="Times New Roman"/>
      <family val="1"/>
    </font>
    <font>
      <sz val="10"/>
      <color indexed="9"/>
      <name val="Times New Roman"/>
      <family val="1"/>
    </font>
    <font>
      <b/>
      <sz val="10"/>
      <color indexed="12"/>
      <name val="Times New Roman"/>
      <family val="1"/>
    </font>
    <font>
      <b/>
      <sz val="10"/>
      <color indexed="48"/>
      <name val="Times New Roman"/>
      <family val="1"/>
    </font>
    <font>
      <b/>
      <u/>
      <sz val="12"/>
      <color indexed="10"/>
      <name val="Times New Roman"/>
      <family val="1"/>
    </font>
    <font>
      <b/>
      <u/>
      <sz val="10"/>
      <color indexed="10"/>
      <name val="Times New Roman"/>
      <family val="1"/>
    </font>
    <font>
      <b/>
      <u/>
      <sz val="10"/>
      <color indexed="13"/>
      <name val="Times New Roman"/>
      <family val="1"/>
    </font>
    <font>
      <sz val="10"/>
      <color indexed="13"/>
      <name val="Times New Roman"/>
      <family val="1"/>
    </font>
    <font>
      <b/>
      <sz val="16"/>
      <color indexed="13"/>
      <name val="Times New Roman"/>
      <family val="1"/>
    </font>
    <font>
      <sz val="16"/>
      <name val="Times New Roman"/>
      <family val="1"/>
    </font>
    <font>
      <b/>
      <sz val="16"/>
      <color indexed="10"/>
      <name val="Times New Roman"/>
      <family val="1"/>
    </font>
    <font>
      <sz val="11"/>
      <name val="Calibri"/>
      <family val="2"/>
    </font>
    <font>
      <b/>
      <u/>
      <sz val="11"/>
      <name val="Calibri"/>
      <family val="2"/>
    </font>
    <font>
      <b/>
      <i/>
      <sz val="9"/>
      <name val="Arial"/>
      <family val="2"/>
    </font>
    <font>
      <sz val="9"/>
      <name val="Arial"/>
      <family val="2"/>
    </font>
    <font>
      <b/>
      <sz val="9"/>
      <name val="Arial"/>
      <family val="2"/>
    </font>
    <font>
      <b/>
      <sz val="18"/>
      <color indexed="9"/>
      <name val="Arial"/>
      <family val="2"/>
    </font>
    <font>
      <sz val="18"/>
      <name val="Arial"/>
      <family val="2"/>
    </font>
    <font>
      <b/>
      <sz val="18"/>
      <color indexed="12"/>
      <name val="Arial"/>
      <family val="2"/>
    </font>
    <font>
      <b/>
      <u/>
      <sz val="18"/>
      <color indexed="12"/>
      <name val="Arial"/>
      <family val="2"/>
    </font>
    <font>
      <u/>
      <sz val="18"/>
      <color indexed="12"/>
      <name val="Arial"/>
      <family val="2"/>
    </font>
    <font>
      <b/>
      <sz val="18"/>
      <name val="Arial"/>
      <family val="2"/>
    </font>
    <font>
      <sz val="18"/>
      <color indexed="12"/>
      <name val="Arial"/>
      <family val="2"/>
    </font>
    <font>
      <b/>
      <sz val="18"/>
      <color indexed="13"/>
      <name val="Arial"/>
      <family val="2"/>
    </font>
    <font>
      <b/>
      <sz val="18"/>
      <color indexed="10"/>
      <name val="Arial"/>
      <family val="2"/>
    </font>
    <font>
      <b/>
      <sz val="14"/>
      <color indexed="10"/>
      <name val="Calibri"/>
      <family val="2"/>
      <scheme val="minor"/>
    </font>
    <font>
      <sz val="10"/>
      <name val="Calibri"/>
      <family val="2"/>
      <scheme val="minor"/>
    </font>
    <font>
      <b/>
      <sz val="12"/>
      <name val="Calibri"/>
      <family val="2"/>
      <scheme val="minor"/>
    </font>
    <font>
      <sz val="12"/>
      <name val="Calibri"/>
      <family val="2"/>
      <scheme val="minor"/>
    </font>
    <font>
      <b/>
      <sz val="14"/>
      <color indexed="12"/>
      <name val="Calibri"/>
      <family val="2"/>
      <scheme val="minor"/>
    </font>
    <font>
      <sz val="14"/>
      <color indexed="10"/>
      <name val="Calibri"/>
      <family val="2"/>
      <scheme val="minor"/>
    </font>
    <font>
      <b/>
      <sz val="12"/>
      <color indexed="12"/>
      <name val="Calibri"/>
      <family val="2"/>
      <scheme val="minor"/>
    </font>
    <font>
      <b/>
      <sz val="10"/>
      <color indexed="10"/>
      <name val="Calibri"/>
      <family val="2"/>
      <scheme val="minor"/>
    </font>
    <font>
      <b/>
      <sz val="10"/>
      <color indexed="12"/>
      <name val="Calibri"/>
      <family val="2"/>
      <scheme val="minor"/>
    </font>
    <font>
      <b/>
      <sz val="12"/>
      <color indexed="10"/>
      <name val="Calibri"/>
      <family val="2"/>
      <scheme val="minor"/>
    </font>
    <font>
      <b/>
      <sz val="11"/>
      <name val="Calibri"/>
      <family val="2"/>
      <scheme val="minor"/>
    </font>
    <font>
      <sz val="11"/>
      <name val="Calibri"/>
      <family val="2"/>
      <scheme val="minor"/>
    </font>
    <font>
      <u/>
      <sz val="11"/>
      <name val="Calibri"/>
      <family val="2"/>
      <scheme val="minor"/>
    </font>
    <font>
      <b/>
      <sz val="16"/>
      <name val="Calibri"/>
      <family val="2"/>
      <scheme val="minor"/>
    </font>
    <font>
      <b/>
      <sz val="18"/>
      <name val="Calibri"/>
      <family val="2"/>
      <scheme val="minor"/>
    </font>
    <font>
      <b/>
      <sz val="18"/>
      <color indexed="10"/>
      <name val="Calibri"/>
      <family val="2"/>
      <scheme val="minor"/>
    </font>
    <font>
      <b/>
      <i/>
      <sz val="18"/>
      <color indexed="9"/>
      <name val="Calibri"/>
      <family val="2"/>
      <scheme val="minor"/>
    </font>
    <font>
      <b/>
      <sz val="18"/>
      <color indexed="9"/>
      <name val="Calibri"/>
      <family val="2"/>
      <scheme val="minor"/>
    </font>
    <font>
      <b/>
      <sz val="18"/>
      <color indexed="17"/>
      <name val="Calibri"/>
      <family val="2"/>
      <scheme val="minor"/>
    </font>
    <font>
      <b/>
      <sz val="18"/>
      <color theme="0"/>
      <name val="Calibri"/>
      <family val="2"/>
      <scheme val="minor"/>
    </font>
    <font>
      <sz val="18"/>
      <color theme="0"/>
      <name val="Calibri"/>
      <family val="2"/>
      <scheme val="minor"/>
    </font>
    <font>
      <b/>
      <u/>
      <sz val="18"/>
      <color indexed="9"/>
      <name val="Calibri"/>
      <family val="2"/>
      <scheme val="minor"/>
    </font>
    <font>
      <sz val="18"/>
      <color indexed="9"/>
      <name val="Calibri"/>
      <family val="2"/>
      <scheme val="minor"/>
    </font>
    <font>
      <sz val="18"/>
      <name val="Calibri"/>
      <family val="2"/>
      <scheme val="minor"/>
    </font>
    <font>
      <sz val="18"/>
      <color indexed="10"/>
      <name val="Calibri"/>
      <family val="2"/>
      <scheme val="minor"/>
    </font>
    <font>
      <sz val="18"/>
      <color indexed="17"/>
      <name val="Calibri"/>
      <family val="2"/>
      <scheme val="minor"/>
    </font>
    <font>
      <b/>
      <sz val="18"/>
      <color theme="0"/>
      <name val="Arial"/>
      <family val="2"/>
    </font>
    <font>
      <sz val="18"/>
      <color indexed="12"/>
      <name val="Calibri"/>
      <family val="2"/>
      <scheme val="minor"/>
    </font>
    <font>
      <b/>
      <sz val="20"/>
      <name val="Calibri"/>
      <family val="2"/>
      <scheme val="minor"/>
    </font>
    <font>
      <b/>
      <sz val="47"/>
      <color rgb="FF072B30"/>
      <name val="Arial"/>
      <family val="2"/>
    </font>
    <font>
      <b/>
      <sz val="18"/>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48"/>
        <bgColor indexed="64"/>
      </patternFill>
    </fill>
    <fill>
      <patternFill patternType="solid">
        <fgColor indexed="12"/>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78">
    <xf numFmtId="0" fontId="0" fillId="0" borderId="0" xfId="0"/>
    <xf numFmtId="43" fontId="0" fillId="0" borderId="0" xfId="1" applyFont="1" applyBorder="1" applyAlignment="1" applyProtection="1">
      <alignment horizontal="right"/>
    </xf>
    <xf numFmtId="0" fontId="7" fillId="0" borderId="0" xfId="0" applyFont="1"/>
    <xf numFmtId="0" fontId="6" fillId="0" borderId="0" xfId="0" applyFont="1"/>
    <xf numFmtId="0" fontId="9" fillId="2" borderId="0" xfId="0" applyFont="1" applyFill="1"/>
    <xf numFmtId="0" fontId="8" fillId="0" borderId="0" xfId="0" applyFont="1"/>
    <xf numFmtId="0" fontId="14" fillId="0" borderId="0" xfId="0" applyFont="1"/>
    <xf numFmtId="0" fontId="13" fillId="0" borderId="0" xfId="0" applyFont="1"/>
    <xf numFmtId="0" fontId="10" fillId="0" borderId="0" xfId="0" applyFont="1" applyAlignment="1">
      <alignment horizontal="center"/>
    </xf>
    <xf numFmtId="0" fontId="11" fillId="0" borderId="0" xfId="0" applyFont="1"/>
    <xf numFmtId="0" fontId="6" fillId="0" borderId="0" xfId="0" applyFont="1" applyAlignment="1">
      <alignment horizontal="center"/>
    </xf>
    <xf numFmtId="0" fontId="6" fillId="0" borderId="0" xfId="0" applyFont="1" applyAlignment="1">
      <alignment horizontal="right"/>
    </xf>
    <xf numFmtId="165" fontId="6" fillId="0" borderId="0" xfId="0" applyNumberFormat="1" applyFont="1"/>
    <xf numFmtId="0" fontId="15" fillId="0" borderId="0" xfId="0" applyFont="1"/>
    <xf numFmtId="14" fontId="12" fillId="3" borderId="0" xfId="0" applyNumberFormat="1" applyFont="1" applyFill="1"/>
    <xf numFmtId="164" fontId="6" fillId="0" borderId="0" xfId="0" applyNumberFormat="1" applyFont="1"/>
    <xf numFmtId="164" fontId="12" fillId="3" borderId="0" xfId="0" applyNumberFormat="1" applyFont="1" applyFill="1"/>
    <xf numFmtId="166" fontId="11" fillId="0" borderId="0" xfId="0" applyNumberFormat="1" applyFont="1"/>
    <xf numFmtId="164" fontId="7" fillId="0" borderId="0" xfId="0" applyNumberFormat="1" applyFont="1"/>
    <xf numFmtId="0" fontId="12" fillId="3" borderId="0" xfId="0" applyFont="1" applyFill="1"/>
    <xf numFmtId="164" fontId="7" fillId="3" borderId="0" xfId="0" applyNumberFormat="1" applyFont="1" applyFill="1"/>
    <xf numFmtId="1" fontId="12" fillId="3" borderId="0" xfId="0" applyNumberFormat="1" applyFont="1" applyFill="1"/>
    <xf numFmtId="164" fontId="14" fillId="0" borderId="0" xfId="0" applyNumberFormat="1" applyFont="1"/>
    <xf numFmtId="164" fontId="11" fillId="0" borderId="0" xfId="1" applyNumberFormat="1" applyFont="1" applyBorder="1" applyAlignment="1" applyProtection="1">
      <alignment horizontal="center"/>
    </xf>
    <xf numFmtId="43" fontId="4" fillId="0" borderId="0" xfId="1" applyFont="1" applyBorder="1" applyAlignment="1" applyProtection="1">
      <alignment horizontal="right"/>
    </xf>
    <xf numFmtId="0" fontId="12" fillId="0" borderId="0" xfId="0" applyFont="1"/>
    <xf numFmtId="0" fontId="6" fillId="0" borderId="0" xfId="0" applyFont="1" applyAlignment="1">
      <alignment horizontal="center" vertical="center" wrapText="1"/>
    </xf>
    <xf numFmtId="165" fontId="12" fillId="3" borderId="0" xfId="0" applyNumberFormat="1" applyFont="1" applyFill="1"/>
    <xf numFmtId="165" fontId="12" fillId="3" borderId="1" xfId="0" applyNumberFormat="1" applyFont="1" applyFill="1" applyBorder="1"/>
    <xf numFmtId="165" fontId="12" fillId="3" borderId="2" xfId="0" applyNumberFormat="1" applyFont="1" applyFill="1" applyBorder="1"/>
    <xf numFmtId="166" fontId="11" fillId="2" borderId="0" xfId="0" applyNumberFormat="1" applyFont="1" applyFill="1"/>
    <xf numFmtId="14" fontId="11" fillId="2" borderId="0" xfId="0" applyNumberFormat="1" applyFont="1" applyFill="1"/>
    <xf numFmtId="43" fontId="3" fillId="2" borderId="0" xfId="1" applyFont="1" applyFill="1" applyBorder="1" applyAlignment="1" applyProtection="1">
      <alignment horizontal="right"/>
    </xf>
    <xf numFmtId="0" fontId="11" fillId="2" borderId="0" xfId="0" applyFont="1" applyFill="1" applyAlignment="1">
      <alignment horizontal="center"/>
    </xf>
    <xf numFmtId="167" fontId="11" fillId="2" borderId="0" xfId="0" applyNumberFormat="1" applyFont="1" applyFill="1" applyAlignment="1">
      <alignment horizontal="center"/>
    </xf>
    <xf numFmtId="0" fontId="11" fillId="2" borderId="0" xfId="0" applyFont="1" applyFill="1" applyAlignment="1">
      <alignment horizontal="right"/>
    </xf>
    <xf numFmtId="0" fontId="14" fillId="0" borderId="0" xfId="0" applyFont="1" applyAlignment="1">
      <alignment horizontal="center"/>
    </xf>
    <xf numFmtId="0" fontId="12" fillId="3" borderId="0" xfId="0" applyFont="1" applyFill="1" applyAlignment="1">
      <alignment horizontal="center"/>
    </xf>
    <xf numFmtId="0" fontId="7" fillId="0" borderId="0" xfId="0" applyFont="1" applyAlignment="1">
      <alignment horizontal="center"/>
    </xf>
    <xf numFmtId="0" fontId="6" fillId="2" borderId="0" xfId="0" applyFont="1" applyFill="1" applyAlignment="1">
      <alignment horizontal="center"/>
    </xf>
    <xf numFmtId="0" fontId="17" fillId="4" borderId="0" xfId="0" applyFont="1" applyFill="1"/>
    <xf numFmtId="0" fontId="18" fillId="4" borderId="0" xfId="0" applyFont="1" applyFill="1"/>
    <xf numFmtId="0" fontId="19" fillId="4" borderId="0" xfId="0" applyFont="1" applyFill="1"/>
    <xf numFmtId="0" fontId="20" fillId="0" borderId="0" xfId="0" applyFont="1"/>
    <xf numFmtId="0" fontId="21" fillId="0" borderId="0" xfId="0" applyFont="1" applyAlignment="1">
      <alignment horizontal="center"/>
    </xf>
    <xf numFmtId="0" fontId="8" fillId="0" borderId="0" xfId="0" applyFont="1" applyAlignment="1">
      <alignment horizontal="center"/>
    </xf>
    <xf numFmtId="0" fontId="15" fillId="0" borderId="0" xfId="0" applyFont="1" applyAlignment="1">
      <alignment horizontal="center"/>
    </xf>
    <xf numFmtId="0" fontId="21" fillId="4" borderId="0" xfId="0" applyFont="1" applyFill="1" applyAlignment="1">
      <alignment horizontal="center"/>
    </xf>
    <xf numFmtId="0" fontId="8" fillId="2" borderId="0" xfId="0" applyFont="1" applyFill="1" applyAlignment="1">
      <alignment horizontal="center"/>
    </xf>
    <xf numFmtId="0" fontId="10" fillId="3" borderId="0" xfId="0" applyFont="1" applyFill="1" applyAlignment="1">
      <alignment horizontal="center"/>
    </xf>
    <xf numFmtId="0" fontId="16" fillId="4" borderId="0" xfId="0" applyFont="1" applyFill="1" applyAlignment="1">
      <alignment horizontal="center"/>
    </xf>
    <xf numFmtId="170" fontId="11" fillId="2" borderId="0" xfId="0" applyNumberFormat="1" applyFont="1" applyFill="1"/>
    <xf numFmtId="0" fontId="6" fillId="4" borderId="0" xfId="0" applyFont="1" applyFill="1"/>
    <xf numFmtId="14" fontId="6" fillId="0" borderId="0" xfId="0" applyNumberFormat="1" applyFont="1"/>
    <xf numFmtId="0" fontId="36" fillId="7" borderId="0" xfId="0" applyFont="1" applyFill="1" applyAlignment="1">
      <alignment vertical="center"/>
    </xf>
    <xf numFmtId="0" fontId="36" fillId="7" borderId="0" xfId="0" applyFont="1" applyFill="1" applyAlignment="1">
      <alignment vertical="center" wrapText="1"/>
    </xf>
    <xf numFmtId="0" fontId="36" fillId="7" borderId="0" xfId="0" applyFont="1" applyFill="1"/>
    <xf numFmtId="0" fontId="37" fillId="7" borderId="0" xfId="0" applyFont="1" applyFill="1" applyAlignment="1">
      <alignment vertical="center" wrapText="1"/>
    </xf>
    <xf numFmtId="0" fontId="37" fillId="7" borderId="0" xfId="0" applyFont="1" applyFill="1"/>
    <xf numFmtId="0" fontId="37" fillId="7" borderId="0" xfId="0" applyFont="1" applyFill="1" applyAlignment="1">
      <alignment vertical="center"/>
    </xf>
    <xf numFmtId="0" fontId="37" fillId="0" borderId="0" xfId="0" applyFont="1" applyProtection="1">
      <protection hidden="1"/>
    </xf>
    <xf numFmtId="0" fontId="37" fillId="0" borderId="0" xfId="0" applyFont="1"/>
    <xf numFmtId="0" fontId="38" fillId="0" borderId="0" xfId="0" applyFont="1"/>
    <xf numFmtId="0" fontId="39" fillId="0" borderId="0" xfId="0" applyFont="1"/>
    <xf numFmtId="0" fontId="40" fillId="7" borderId="0" xfId="0" applyFont="1" applyFill="1"/>
    <xf numFmtId="0" fontId="41" fillId="7" borderId="0" xfId="0" applyFont="1" applyFill="1"/>
    <xf numFmtId="0" fontId="42" fillId="7" borderId="0" xfId="0" applyFont="1" applyFill="1"/>
    <xf numFmtId="0" fontId="37" fillId="7" borderId="0" xfId="0" applyFont="1" applyFill="1" applyAlignment="1">
      <alignment horizontal="left" indent="5"/>
    </xf>
    <xf numFmtId="0" fontId="42" fillId="7" borderId="0" xfId="0" applyFont="1" applyFill="1" applyAlignment="1">
      <alignment horizontal="left"/>
    </xf>
    <xf numFmtId="0" fontId="38" fillId="7" borderId="0" xfId="0" applyFont="1" applyFill="1"/>
    <xf numFmtId="0" fontId="42" fillId="7" borderId="0" xfId="0" applyFont="1" applyFill="1" applyAlignment="1">
      <alignment horizontal="left" indent="5"/>
    </xf>
    <xf numFmtId="0" fontId="43" fillId="7" borderId="0" xfId="0" applyFont="1" applyFill="1"/>
    <xf numFmtId="0" fontId="44" fillId="7" borderId="0" xfId="0" applyFont="1" applyFill="1"/>
    <xf numFmtId="0" fontId="44" fillId="7" borderId="0" xfId="0" applyFont="1" applyFill="1" applyAlignment="1">
      <alignment horizontal="left" indent="5"/>
    </xf>
    <xf numFmtId="0" fontId="44" fillId="7" borderId="0" xfId="0" applyFont="1" applyFill="1" applyAlignment="1">
      <alignment horizontal="center"/>
    </xf>
    <xf numFmtId="0" fontId="45" fillId="7" borderId="0" xfId="0" applyFont="1" applyFill="1" applyAlignment="1">
      <alignment horizontal="left" indent="5"/>
    </xf>
    <xf numFmtId="0" fontId="46" fillId="0" borderId="0" xfId="0" applyFont="1" applyAlignment="1" applyProtection="1">
      <alignment horizontal="center"/>
      <protection hidden="1"/>
    </xf>
    <xf numFmtId="0" fontId="47" fillId="0" borderId="0" xfId="0" applyFont="1" applyProtection="1">
      <protection hidden="1"/>
    </xf>
    <xf numFmtId="0" fontId="47" fillId="0" borderId="0" xfId="0" applyFont="1"/>
    <xf numFmtId="49" fontId="46" fillId="0" borderId="0" xfId="0" applyNumberFormat="1" applyFont="1" applyAlignment="1" applyProtection="1">
      <alignment horizontal="center"/>
      <protection hidden="1"/>
    </xf>
    <xf numFmtId="0" fontId="46" fillId="0" borderId="3" xfId="0" applyFont="1" applyBorder="1" applyAlignment="1" applyProtection="1">
      <alignment horizontal="center" vertical="top" wrapText="1"/>
      <protection hidden="1"/>
    </xf>
    <xf numFmtId="0" fontId="46" fillId="0" borderId="3" xfId="0" applyFont="1" applyBorder="1" applyAlignment="1">
      <alignment horizontal="center"/>
    </xf>
    <xf numFmtId="0" fontId="46" fillId="0" borderId="0" xfId="0" applyFont="1" applyProtection="1">
      <protection hidden="1"/>
    </xf>
    <xf numFmtId="0" fontId="46" fillId="0" borderId="0" xfId="0" applyFont="1"/>
    <xf numFmtId="171" fontId="46" fillId="0" borderId="3" xfId="0" applyNumberFormat="1" applyFont="1" applyBorder="1" applyAlignment="1" applyProtection="1">
      <alignment horizontal="center"/>
      <protection hidden="1"/>
    </xf>
    <xf numFmtId="49" fontId="46" fillId="0" borderId="3" xfId="0" applyNumberFormat="1" applyFont="1" applyBorder="1" applyAlignment="1" applyProtection="1">
      <alignment horizontal="center"/>
      <protection hidden="1"/>
    </xf>
    <xf numFmtId="0" fontId="46" fillId="0" borderId="3" xfId="0" applyFont="1" applyBorder="1" applyAlignment="1" applyProtection="1">
      <alignment horizontal="center"/>
      <protection hidden="1"/>
    </xf>
    <xf numFmtId="170" fontId="46" fillId="0" borderId="3" xfId="0" applyNumberFormat="1" applyFont="1" applyBorder="1" applyAlignment="1" applyProtection="1">
      <alignment horizontal="center"/>
      <protection hidden="1"/>
    </xf>
    <xf numFmtId="167" fontId="46" fillId="0" borderId="3" xfId="0" applyNumberFormat="1" applyFont="1" applyBorder="1" applyAlignment="1" applyProtection="1">
      <alignment horizontal="center"/>
      <protection hidden="1"/>
    </xf>
    <xf numFmtId="0" fontId="46" fillId="0" borderId="4" xfId="0" applyFont="1" applyBorder="1" applyAlignment="1" applyProtection="1">
      <alignment horizontal="center" vertical="top" wrapText="1"/>
      <protection hidden="1"/>
    </xf>
    <xf numFmtId="167" fontId="47" fillId="0" borderId="0" xfId="0" applyNumberFormat="1" applyFont="1" applyProtection="1">
      <protection hidden="1"/>
    </xf>
    <xf numFmtId="0" fontId="46" fillId="0" borderId="4" xfId="0" applyFont="1" applyBorder="1" applyAlignment="1" applyProtection="1">
      <alignment horizontal="center"/>
      <protection hidden="1"/>
    </xf>
    <xf numFmtId="171" fontId="47" fillId="0" borderId="0" xfId="0" applyNumberFormat="1" applyFont="1" applyAlignment="1" applyProtection="1">
      <alignment horizontal="left"/>
      <protection hidden="1"/>
    </xf>
    <xf numFmtId="0" fontId="48" fillId="0" borderId="0" xfId="0" applyFont="1" applyProtection="1">
      <protection hidden="1"/>
    </xf>
    <xf numFmtId="0" fontId="49" fillId="0" borderId="0" xfId="0" applyFont="1" applyAlignment="1" applyProtection="1">
      <alignment horizontal="left"/>
      <protection hidden="1"/>
    </xf>
    <xf numFmtId="43" fontId="49" fillId="0" borderId="0" xfId="0" applyNumberFormat="1" applyFont="1" applyAlignment="1" applyProtection="1">
      <alignment horizontal="left"/>
      <protection hidden="1"/>
    </xf>
    <xf numFmtId="0" fontId="22" fillId="0" borderId="0" xfId="0" applyFont="1" applyProtection="1">
      <protection hidden="1"/>
    </xf>
    <xf numFmtId="0" fontId="24" fillId="7" borderId="0" xfId="0" applyFont="1" applyFill="1" applyAlignment="1">
      <alignment horizontal="left" vertical="center"/>
    </xf>
    <xf numFmtId="0" fontId="25" fillId="7" borderId="0" xfId="0" applyFont="1" applyFill="1" applyAlignment="1">
      <alignment vertical="center" wrapText="1"/>
    </xf>
    <xf numFmtId="0" fontId="26" fillId="7" borderId="0" xfId="0" applyFont="1" applyFill="1" applyAlignment="1">
      <alignment vertical="center" wrapText="1"/>
    </xf>
    <xf numFmtId="0" fontId="36" fillId="7" borderId="0" xfId="0" applyFont="1" applyFill="1" applyAlignment="1">
      <alignment horizontal="center" vertical="center"/>
    </xf>
    <xf numFmtId="0" fontId="24" fillId="7" borderId="0" xfId="0" applyFont="1" applyFill="1" applyAlignment="1">
      <alignment horizontal="center" vertical="center"/>
    </xf>
    <xf numFmtId="43" fontId="24" fillId="7" borderId="0" xfId="1" applyFont="1" applyFill="1" applyBorder="1" applyAlignment="1" applyProtection="1">
      <alignment horizontal="center" vertical="center"/>
    </xf>
    <xf numFmtId="0" fontId="37" fillId="7" borderId="0" xfId="0" applyFont="1" applyFill="1" applyAlignment="1">
      <alignment horizontal="left" vertical="center"/>
    </xf>
    <xf numFmtId="1" fontId="50" fillId="7" borderId="0" xfId="1" applyNumberFormat="1" applyFont="1" applyFill="1" applyAlignment="1" applyProtection="1">
      <alignment horizontal="center"/>
    </xf>
    <xf numFmtId="0" fontId="50" fillId="7" borderId="0" xfId="0" applyFont="1" applyFill="1"/>
    <xf numFmtId="43" fontId="50" fillId="7" borderId="0" xfId="1" applyFont="1" applyFill="1" applyAlignment="1" applyProtection="1">
      <alignment horizontal="center"/>
    </xf>
    <xf numFmtId="0" fontId="50" fillId="7" borderId="0" xfId="0" applyFont="1" applyFill="1" applyAlignment="1">
      <alignment horizontal="center"/>
    </xf>
    <xf numFmtId="0" fontId="51" fillId="7" borderId="0" xfId="0" applyFont="1" applyFill="1" applyAlignment="1">
      <alignment horizontal="center"/>
    </xf>
    <xf numFmtId="0" fontId="52" fillId="7" borderId="0" xfId="0" applyFont="1" applyFill="1"/>
    <xf numFmtId="0" fontId="53" fillId="7" borderId="0" xfId="0" applyFont="1" applyFill="1"/>
    <xf numFmtId="0" fontId="51" fillId="7" borderId="0" xfId="0" applyFont="1" applyFill="1"/>
    <xf numFmtId="0" fontId="54" fillId="7" borderId="0" xfId="0" applyFont="1" applyFill="1"/>
    <xf numFmtId="0" fontId="50" fillId="0" borderId="0" xfId="0" applyFont="1"/>
    <xf numFmtId="43" fontId="55" fillId="7" borderId="0" xfId="1" applyFont="1" applyFill="1" applyAlignment="1" applyProtection="1">
      <alignment horizontal="right"/>
    </xf>
    <xf numFmtId="0" fontId="55" fillId="7" borderId="0" xfId="0" applyFont="1" applyFill="1"/>
    <xf numFmtId="15" fontId="51" fillId="7" borderId="0" xfId="0" applyNumberFormat="1" applyFont="1" applyFill="1" applyAlignment="1">
      <alignment horizontal="center"/>
    </xf>
    <xf numFmtId="165" fontId="53" fillId="7" borderId="0" xfId="0" applyNumberFormat="1" applyFont="1" applyFill="1"/>
    <xf numFmtId="0" fontId="55" fillId="7" borderId="0" xfId="0" applyFont="1" applyFill="1" applyAlignment="1">
      <alignment horizontal="right"/>
    </xf>
    <xf numFmtId="170" fontId="55" fillId="7" borderId="0" xfId="1" applyNumberFormat="1" applyFont="1" applyFill="1" applyAlignment="1" applyProtection="1"/>
    <xf numFmtId="170" fontId="55" fillId="7" borderId="0" xfId="1" applyNumberFormat="1" applyFont="1" applyFill="1" applyAlignment="1" applyProtection="1">
      <alignment horizontal="right"/>
    </xf>
    <xf numFmtId="43" fontId="56" fillId="7" borderId="0" xfId="1" applyFont="1" applyFill="1" applyAlignment="1" applyProtection="1">
      <alignment horizontal="right"/>
    </xf>
    <xf numFmtId="170" fontId="55" fillId="7" borderId="0" xfId="0" applyNumberFormat="1" applyFont="1" applyFill="1"/>
    <xf numFmtId="0" fontId="57" fillId="7" borderId="0" xfId="0" applyFont="1" applyFill="1" applyAlignment="1">
      <alignment horizontal="center"/>
    </xf>
    <xf numFmtId="168" fontId="56" fillId="7" borderId="0" xfId="1" applyNumberFormat="1" applyFont="1" applyFill="1" applyAlignment="1" applyProtection="1">
      <alignment horizontal="right"/>
    </xf>
    <xf numFmtId="0" fontId="55" fillId="7" borderId="0" xfId="0" applyFont="1" applyFill="1" applyAlignment="1">
      <alignment horizontal="center"/>
    </xf>
    <xf numFmtId="0" fontId="58" fillId="7" borderId="0" xfId="0" applyFont="1" applyFill="1" applyAlignment="1">
      <alignment horizontal="center"/>
    </xf>
    <xf numFmtId="1" fontId="59" fillId="7" borderId="0" xfId="1" applyNumberFormat="1" applyFont="1" applyFill="1" applyAlignment="1" applyProtection="1">
      <alignment horizontal="center"/>
    </xf>
    <xf numFmtId="0" fontId="60" fillId="7" borderId="0" xfId="0" applyFont="1" applyFill="1" applyAlignment="1">
      <alignment horizontal="center"/>
    </xf>
    <xf numFmtId="0" fontId="58" fillId="7" borderId="0" xfId="0" applyFont="1" applyFill="1"/>
    <xf numFmtId="0" fontId="60" fillId="7" borderId="0" xfId="0" applyFont="1" applyFill="1"/>
    <xf numFmtId="0" fontId="61" fillId="7" borderId="0" xfId="0" applyFont="1" applyFill="1"/>
    <xf numFmtId="0" fontId="59" fillId="7" borderId="0" xfId="0" applyFont="1" applyFill="1"/>
    <xf numFmtId="0" fontId="59" fillId="0" borderId="0" xfId="0" applyFont="1"/>
    <xf numFmtId="43" fontId="59" fillId="7" borderId="0" xfId="1" applyFont="1" applyFill="1" applyProtection="1"/>
    <xf numFmtId="43" fontId="59" fillId="7" borderId="0" xfId="1" applyFont="1" applyFill="1" applyAlignment="1" applyProtection="1">
      <alignment horizontal="center"/>
    </xf>
    <xf numFmtId="0" fontId="59" fillId="7" borderId="0" xfId="0" applyFont="1" applyFill="1" applyAlignment="1">
      <alignment horizontal="center"/>
    </xf>
    <xf numFmtId="1" fontId="27" fillId="8" borderId="5" xfId="1" applyNumberFormat="1" applyFont="1" applyFill="1" applyBorder="1" applyAlignment="1" applyProtection="1">
      <alignment horizontal="center" vertical="center"/>
    </xf>
    <xf numFmtId="1" fontId="27" fillId="8" borderId="6" xfId="1" applyNumberFormat="1" applyFont="1" applyFill="1" applyBorder="1" applyAlignment="1" applyProtection="1">
      <alignment horizontal="center"/>
    </xf>
    <xf numFmtId="0" fontId="28" fillId="8" borderId="7" xfId="0" applyFont="1" applyFill="1" applyBorder="1" applyAlignment="1">
      <alignment horizontal="center"/>
    </xf>
    <xf numFmtId="1" fontId="28" fillId="7" borderId="8" xfId="1" applyNumberFormat="1" applyFont="1" applyFill="1" applyBorder="1" applyAlignment="1" applyProtection="1">
      <alignment horizontal="center"/>
    </xf>
    <xf numFmtId="1" fontId="28" fillId="7" borderId="0" xfId="1" applyNumberFormat="1" applyFont="1" applyFill="1" applyBorder="1" applyAlignment="1" applyProtection="1">
      <alignment horizontal="center"/>
    </xf>
    <xf numFmtId="43" fontId="28" fillId="7" borderId="0" xfId="1" applyFont="1" applyFill="1" applyBorder="1" applyProtection="1"/>
    <xf numFmtId="43" fontId="28" fillId="7" borderId="0" xfId="1" applyFont="1" applyFill="1" applyBorder="1" applyAlignment="1" applyProtection="1">
      <alignment horizontal="center"/>
    </xf>
    <xf numFmtId="0" fontId="28" fillId="7" borderId="9" xfId="0" applyFont="1" applyFill="1" applyBorder="1" applyAlignment="1">
      <alignment horizontal="center"/>
    </xf>
    <xf numFmtId="15" fontId="58" fillId="7" borderId="0" xfId="0" applyNumberFormat="1" applyFont="1" applyFill="1"/>
    <xf numFmtId="1" fontId="58" fillId="7" borderId="0" xfId="0" applyNumberFormat="1" applyFont="1" applyFill="1" applyAlignment="1">
      <alignment horizontal="center"/>
    </xf>
    <xf numFmtId="14" fontId="58" fillId="7" borderId="0" xfId="0" applyNumberFormat="1" applyFont="1" applyFill="1" applyAlignment="1">
      <alignment horizontal="center"/>
    </xf>
    <xf numFmtId="172" fontId="58" fillId="7" borderId="0" xfId="0" applyNumberFormat="1" applyFont="1" applyFill="1"/>
    <xf numFmtId="43" fontId="29" fillId="2" borderId="0" xfId="1" applyFont="1" applyFill="1" applyBorder="1" applyAlignment="1" applyProtection="1">
      <alignment horizontal="center"/>
      <protection locked="0"/>
    </xf>
    <xf numFmtId="1" fontId="28" fillId="7" borderId="0" xfId="0" applyNumberFormat="1" applyFont="1" applyFill="1" applyAlignment="1">
      <alignment horizontal="center"/>
    </xf>
    <xf numFmtId="1" fontId="28" fillId="7" borderId="0" xfId="1" applyNumberFormat="1" applyFont="1" applyFill="1" applyAlignment="1" applyProtection="1">
      <alignment horizontal="center"/>
    </xf>
    <xf numFmtId="0" fontId="57" fillId="7" borderId="0" xfId="0" applyFont="1" applyFill="1" applyAlignment="1">
      <alignment horizontal="right"/>
    </xf>
    <xf numFmtId="165" fontId="58" fillId="7" borderId="0" xfId="0" applyNumberFormat="1" applyFont="1" applyFill="1" applyAlignment="1">
      <alignment horizontal="right"/>
    </xf>
    <xf numFmtId="165" fontId="58" fillId="7" borderId="0" xfId="0" applyNumberFormat="1" applyFont="1" applyFill="1"/>
    <xf numFmtId="1" fontId="62" fillId="8" borderId="5" xfId="1" applyNumberFormat="1" applyFont="1" applyFill="1" applyBorder="1" applyAlignment="1" applyProtection="1">
      <alignment horizontal="center"/>
    </xf>
    <xf numFmtId="1" fontId="59" fillId="8" borderId="6" xfId="1" applyNumberFormat="1" applyFont="1" applyFill="1" applyBorder="1" applyAlignment="1" applyProtection="1">
      <alignment horizontal="center"/>
    </xf>
    <xf numFmtId="43" fontId="59" fillId="8" borderId="6" xfId="1" applyFont="1" applyFill="1" applyBorder="1" applyProtection="1"/>
    <xf numFmtId="43" fontId="59" fillId="8" borderId="6" xfId="1" applyFont="1" applyFill="1" applyBorder="1" applyAlignment="1" applyProtection="1">
      <alignment horizontal="center"/>
    </xf>
    <xf numFmtId="0" fontId="59" fillId="8" borderId="7" xfId="0" applyFont="1" applyFill="1" applyBorder="1" applyAlignment="1">
      <alignment horizontal="center"/>
    </xf>
    <xf numFmtId="1" fontId="29" fillId="2" borderId="8" xfId="1" applyNumberFormat="1" applyFont="1" applyFill="1" applyBorder="1" applyAlignment="1" applyProtection="1">
      <alignment horizontal="center" wrapText="1"/>
    </xf>
    <xf numFmtId="1" fontId="32" fillId="0" borderId="0" xfId="1" applyNumberFormat="1" applyFont="1" applyBorder="1" applyAlignment="1" applyProtection="1">
      <alignment horizontal="center"/>
    </xf>
    <xf numFmtId="43" fontId="28" fillId="0" borderId="0" xfId="1" applyFont="1" applyBorder="1" applyProtection="1"/>
    <xf numFmtId="0" fontId="28" fillId="5" borderId="9" xfId="0" applyFont="1" applyFill="1" applyBorder="1" applyAlignment="1">
      <alignment horizontal="center"/>
    </xf>
    <xf numFmtId="43" fontId="28" fillId="0" borderId="0" xfId="1" applyFont="1" applyBorder="1" applyAlignment="1" applyProtection="1">
      <alignment vertical="top" wrapText="1"/>
      <protection locked="0"/>
    </xf>
    <xf numFmtId="43" fontId="28" fillId="0" borderId="0" xfId="1" applyFont="1" applyBorder="1" applyProtection="1">
      <protection locked="0"/>
    </xf>
    <xf numFmtId="0" fontId="58" fillId="7" borderId="0" xfId="0" applyFont="1" applyFill="1" applyAlignment="1">
      <alignment horizontal="right"/>
    </xf>
    <xf numFmtId="43" fontId="28" fillId="7" borderId="0" xfId="1" applyFont="1" applyFill="1" applyBorder="1" applyProtection="1">
      <protection locked="0"/>
    </xf>
    <xf numFmtId="168" fontId="29" fillId="2" borderId="0" xfId="1" applyNumberFormat="1" applyFont="1" applyFill="1" applyBorder="1" applyAlignment="1" applyProtection="1">
      <alignment horizontal="center"/>
      <protection locked="0"/>
    </xf>
    <xf numFmtId="0" fontId="57" fillId="7" borderId="0" xfId="0" applyFont="1" applyFill="1"/>
    <xf numFmtId="3" fontId="60" fillId="7" borderId="0" xfId="0" applyNumberFormat="1" applyFont="1" applyFill="1" applyAlignment="1">
      <alignment horizontal="center"/>
    </xf>
    <xf numFmtId="165" fontId="53" fillId="7" borderId="0" xfId="0" applyNumberFormat="1" applyFont="1" applyFill="1" applyAlignment="1">
      <alignment horizontal="center"/>
    </xf>
    <xf numFmtId="3" fontId="29" fillId="2" borderId="0" xfId="1" applyNumberFormat="1" applyFont="1" applyFill="1" applyBorder="1" applyAlignment="1" applyProtection="1">
      <alignment horizontal="center"/>
      <protection locked="0"/>
    </xf>
    <xf numFmtId="3" fontId="28" fillId="5" borderId="9" xfId="0" applyNumberFormat="1" applyFont="1" applyFill="1" applyBorder="1" applyAlignment="1">
      <alignment horizontal="center"/>
    </xf>
    <xf numFmtId="43" fontId="58" fillId="7" borderId="0" xfId="0" applyNumberFormat="1" applyFont="1" applyFill="1" applyAlignment="1">
      <alignment horizontal="right"/>
    </xf>
    <xf numFmtId="164" fontId="29" fillId="2" borderId="0" xfId="1" applyNumberFormat="1" applyFont="1" applyFill="1" applyBorder="1" applyAlignment="1" applyProtection="1">
      <alignment horizontal="center"/>
      <protection locked="0"/>
    </xf>
    <xf numFmtId="169" fontId="60" fillId="7" borderId="0" xfId="0" applyNumberFormat="1" applyFont="1" applyFill="1" applyAlignment="1">
      <alignment horizontal="center"/>
    </xf>
    <xf numFmtId="43" fontId="28" fillId="7" borderId="0" xfId="1" applyFont="1" applyFill="1" applyBorder="1" applyAlignment="1" applyProtection="1">
      <alignment vertical="top" wrapText="1"/>
    </xf>
    <xf numFmtId="169" fontId="33" fillId="2" borderId="9" xfId="0" applyNumberFormat="1" applyFont="1" applyFill="1" applyBorder="1" applyAlignment="1" applyProtection="1">
      <alignment horizontal="center"/>
      <protection locked="0"/>
    </xf>
    <xf numFmtId="169" fontId="28" fillId="5" borderId="9" xfId="0" applyNumberFormat="1" applyFont="1" applyFill="1" applyBorder="1" applyAlignment="1">
      <alignment horizontal="center"/>
    </xf>
    <xf numFmtId="164" fontId="33" fillId="5" borderId="10" xfId="1" applyNumberFormat="1" applyFont="1" applyFill="1" applyBorder="1" applyAlignment="1" applyProtection="1">
      <alignment horizontal="center"/>
    </xf>
    <xf numFmtId="169" fontId="33" fillId="2" borderId="11" xfId="0" applyNumberFormat="1" applyFont="1" applyFill="1" applyBorder="1" applyAlignment="1" applyProtection="1">
      <alignment horizontal="center"/>
      <protection locked="0"/>
    </xf>
    <xf numFmtId="164" fontId="34" fillId="6" borderId="12" xfId="1" applyNumberFormat="1" applyFont="1" applyFill="1" applyBorder="1" applyAlignment="1" applyProtection="1">
      <alignment horizontal="left"/>
    </xf>
    <xf numFmtId="164" fontId="33" fillId="2" borderId="10" xfId="1" applyNumberFormat="1" applyFont="1" applyFill="1" applyBorder="1" applyAlignment="1" applyProtection="1">
      <alignment horizontal="center"/>
      <protection locked="0"/>
    </xf>
    <xf numFmtId="164" fontId="33" fillId="5" borderId="7" xfId="1" applyNumberFormat="1" applyFont="1" applyFill="1" applyBorder="1" applyAlignment="1" applyProtection="1">
      <alignment horizontal="center"/>
    </xf>
    <xf numFmtId="1" fontId="59" fillId="0" borderId="0" xfId="1" applyNumberFormat="1" applyFont="1" applyBorder="1" applyAlignment="1" applyProtection="1">
      <alignment horizontal="center"/>
    </xf>
    <xf numFmtId="43" fontId="59" fillId="0" borderId="0" xfId="1" applyFont="1" applyBorder="1" applyProtection="1"/>
    <xf numFmtId="164" fontId="63" fillId="0" borderId="0" xfId="1" applyNumberFormat="1" applyFont="1" applyAlignment="1" applyProtection="1">
      <alignment horizontal="center"/>
    </xf>
    <xf numFmtId="3" fontId="59" fillId="0" borderId="0" xfId="0" applyNumberFormat="1" applyFont="1" applyAlignment="1">
      <alignment horizontal="center"/>
    </xf>
    <xf numFmtId="3" fontId="51" fillId="7" borderId="0" xfId="0" applyNumberFormat="1" applyFont="1" applyFill="1" applyAlignment="1">
      <alignment horizontal="center"/>
    </xf>
    <xf numFmtId="1" fontId="27" fillId="8" borderId="5" xfId="1" applyNumberFormat="1" applyFont="1" applyFill="1" applyBorder="1" applyAlignment="1" applyProtection="1">
      <alignment horizontal="center"/>
    </xf>
    <xf numFmtId="1" fontId="62" fillId="8" borderId="6" xfId="1" applyNumberFormat="1" applyFont="1" applyFill="1" applyBorder="1" applyAlignment="1" applyProtection="1">
      <alignment horizontal="left"/>
    </xf>
    <xf numFmtId="43" fontId="27" fillId="8" borderId="6" xfId="1" applyFont="1" applyFill="1" applyBorder="1" applyAlignment="1" applyProtection="1">
      <alignment horizontal="center"/>
    </xf>
    <xf numFmtId="164" fontId="27" fillId="8" borderId="6" xfId="1" applyNumberFormat="1" applyFont="1" applyFill="1" applyBorder="1" applyAlignment="1" applyProtection="1">
      <alignment horizontal="center"/>
    </xf>
    <xf numFmtId="3" fontId="27" fillId="8" borderId="7" xfId="0" applyNumberFormat="1" applyFont="1" applyFill="1" applyBorder="1" applyAlignment="1">
      <alignment horizontal="center"/>
    </xf>
    <xf numFmtId="1" fontId="59" fillId="5" borderId="8" xfId="1" applyNumberFormat="1" applyFont="1" applyFill="1" applyBorder="1" applyAlignment="1" applyProtection="1">
      <alignment horizontal="center"/>
    </xf>
    <xf numFmtId="1" fontId="59" fillId="5" borderId="0" xfId="1" applyNumberFormat="1" applyFont="1" applyFill="1" applyBorder="1" applyAlignment="1" applyProtection="1">
      <alignment horizontal="center"/>
    </xf>
    <xf numFmtId="43" fontId="28" fillId="7" borderId="0" xfId="1" applyFont="1" applyFill="1" applyBorder="1" applyAlignment="1" applyProtection="1">
      <alignment horizontal="right"/>
    </xf>
    <xf numFmtId="164" fontId="62" fillId="8" borderId="0" xfId="1" applyNumberFormat="1" applyFont="1" applyFill="1" applyBorder="1" applyAlignment="1" applyProtection="1">
      <alignment horizontal="center"/>
    </xf>
    <xf numFmtId="3" fontId="62" fillId="8" borderId="9" xfId="0" applyNumberFormat="1" applyFont="1" applyFill="1" applyBorder="1" applyAlignment="1">
      <alignment horizontal="center"/>
    </xf>
    <xf numFmtId="0" fontId="58" fillId="7" borderId="0" xfId="0" applyFont="1" applyFill="1" applyAlignment="1">
      <alignment horizontal="left"/>
    </xf>
    <xf numFmtId="164" fontId="28" fillId="0" borderId="0" xfId="1" applyNumberFormat="1" applyFont="1" applyBorder="1" applyAlignment="1" applyProtection="1">
      <alignment horizontal="center"/>
    </xf>
    <xf numFmtId="164" fontId="33" fillId="2" borderId="0" xfId="1" applyNumberFormat="1" applyFont="1" applyFill="1" applyBorder="1" applyAlignment="1" applyProtection="1">
      <alignment horizontal="center"/>
      <protection locked="0"/>
    </xf>
    <xf numFmtId="164" fontId="28" fillId="5" borderId="5" xfId="1" applyNumberFormat="1" applyFont="1" applyFill="1" applyBorder="1" applyAlignment="1" applyProtection="1">
      <alignment horizontal="center"/>
    </xf>
    <xf numFmtId="3" fontId="28" fillId="5" borderId="7" xfId="0" applyNumberFormat="1" applyFont="1" applyFill="1" applyBorder="1" applyAlignment="1">
      <alignment horizontal="center"/>
    </xf>
    <xf numFmtId="1" fontId="59" fillId="7" borderId="0" xfId="1" applyNumberFormat="1" applyFont="1" applyFill="1" applyBorder="1" applyAlignment="1" applyProtection="1">
      <alignment horizontal="center"/>
    </xf>
    <xf numFmtId="43" fontId="59" fillId="7" borderId="0" xfId="1" applyFont="1" applyFill="1" applyBorder="1" applyProtection="1"/>
    <xf numFmtId="164" fontId="59" fillId="0" borderId="0" xfId="1" applyNumberFormat="1" applyFont="1" applyAlignment="1" applyProtection="1">
      <alignment horizontal="center"/>
    </xf>
    <xf numFmtId="1" fontId="27" fillId="8" borderId="13" xfId="1" applyNumberFormat="1" applyFont="1" applyFill="1" applyBorder="1" applyAlignment="1" applyProtection="1">
      <alignment horizontal="center"/>
    </xf>
    <xf numFmtId="43" fontId="27" fillId="8" borderId="12" xfId="1" applyFont="1" applyFill="1" applyBorder="1" applyAlignment="1" applyProtection="1">
      <alignment horizontal="left"/>
    </xf>
    <xf numFmtId="164" fontId="27" fillId="8" borderId="12" xfId="1" applyNumberFormat="1" applyFont="1" applyFill="1" applyBorder="1" applyAlignment="1" applyProtection="1">
      <alignment horizontal="center"/>
    </xf>
    <xf numFmtId="1" fontId="27" fillId="8" borderId="14" xfId="1" applyNumberFormat="1" applyFont="1" applyFill="1" applyBorder="1" applyAlignment="1" applyProtection="1">
      <alignment horizontal="center"/>
    </xf>
    <xf numFmtId="43" fontId="27" fillId="8" borderId="10" xfId="1" applyFont="1" applyFill="1" applyBorder="1" applyAlignment="1" applyProtection="1">
      <alignment horizontal="left"/>
    </xf>
    <xf numFmtId="164" fontId="27" fillId="8" borderId="10" xfId="1" applyNumberFormat="1" applyFont="1" applyFill="1" applyBorder="1" applyAlignment="1" applyProtection="1">
      <alignment horizontal="center"/>
    </xf>
    <xf numFmtId="3" fontId="60" fillId="7" borderId="0" xfId="0" applyNumberFormat="1" applyFont="1" applyFill="1" applyAlignment="1">
      <alignment horizontal="left"/>
    </xf>
    <xf numFmtId="43" fontId="58" fillId="7" borderId="0" xfId="0" applyNumberFormat="1" applyFont="1" applyFill="1"/>
    <xf numFmtId="1" fontId="59" fillId="7" borderId="8" xfId="1" applyNumberFormat="1" applyFont="1" applyFill="1" applyBorder="1" applyAlignment="1" applyProtection="1">
      <alignment horizontal="center"/>
    </xf>
    <xf numFmtId="166" fontId="28" fillId="7" borderId="0" xfId="1" applyNumberFormat="1" applyFont="1" applyFill="1" applyBorder="1" applyAlignment="1" applyProtection="1">
      <alignment horizontal="center"/>
    </xf>
    <xf numFmtId="2" fontId="58" fillId="7" borderId="0" xfId="0" applyNumberFormat="1" applyFont="1" applyFill="1"/>
    <xf numFmtId="173" fontId="58" fillId="7" borderId="0" xfId="0" applyNumberFormat="1" applyFont="1" applyFill="1"/>
    <xf numFmtId="1" fontId="59" fillId="7" borderId="0" xfId="0" applyNumberFormat="1" applyFont="1" applyFill="1" applyAlignment="1">
      <alignment horizontal="center"/>
    </xf>
    <xf numFmtId="43" fontId="28" fillId="7" borderId="0" xfId="1" applyFont="1" applyFill="1" applyProtection="1"/>
    <xf numFmtId="3" fontId="28" fillId="7" borderId="0" xfId="1" applyNumberFormat="1" applyFont="1" applyFill="1" applyAlignment="1" applyProtection="1">
      <alignment horizontal="center"/>
    </xf>
    <xf numFmtId="3" fontId="28" fillId="0" borderId="0" xfId="0" applyNumberFormat="1" applyFont="1" applyAlignment="1">
      <alignment horizontal="center"/>
    </xf>
    <xf numFmtId="3" fontId="53" fillId="7" borderId="0" xfId="0" applyNumberFormat="1" applyFont="1" applyFill="1" applyAlignment="1">
      <alignment horizontal="center"/>
    </xf>
    <xf numFmtId="43" fontId="53" fillId="7" borderId="0" xfId="1" applyFont="1" applyFill="1" applyBorder="1" applyAlignment="1" applyProtection="1"/>
    <xf numFmtId="3" fontId="53" fillId="7" borderId="0" xfId="1" applyNumberFormat="1" applyFont="1" applyFill="1" applyAlignment="1" applyProtection="1">
      <alignment horizontal="center"/>
    </xf>
    <xf numFmtId="167" fontId="58" fillId="7" borderId="0" xfId="0" applyNumberFormat="1" applyFont="1" applyFill="1"/>
    <xf numFmtId="43" fontId="50" fillId="7" borderId="0" xfId="1" applyFont="1" applyFill="1" applyBorder="1" applyAlignment="1" applyProtection="1"/>
    <xf numFmtId="43" fontId="50" fillId="7" borderId="0" xfId="1" applyFont="1" applyFill="1" applyBorder="1" applyAlignment="1" applyProtection="1">
      <alignment horizontal="center"/>
    </xf>
    <xf numFmtId="3" fontId="50" fillId="7" borderId="0" xfId="0" applyNumberFormat="1" applyFont="1" applyFill="1" applyAlignment="1">
      <alignment horizontal="center"/>
    </xf>
    <xf numFmtId="167" fontId="60" fillId="7" borderId="0" xfId="0" applyNumberFormat="1" applyFont="1" applyFill="1" applyAlignment="1">
      <alignment horizontal="center"/>
    </xf>
    <xf numFmtId="43" fontId="58" fillId="7" borderId="0" xfId="1" applyFont="1" applyFill="1" applyAlignment="1" applyProtection="1"/>
    <xf numFmtId="167" fontId="58" fillId="7" borderId="0" xfId="1" applyNumberFormat="1" applyFont="1" applyFill="1" applyAlignment="1" applyProtection="1"/>
    <xf numFmtId="43" fontId="59" fillId="7" borderId="0" xfId="1" applyFont="1" applyFill="1" applyAlignment="1" applyProtection="1">
      <alignment horizontal="left" indent="11"/>
    </xf>
    <xf numFmtId="167" fontId="59" fillId="7" borderId="0" xfId="1" applyNumberFormat="1" applyFont="1" applyFill="1" applyAlignment="1" applyProtection="1">
      <alignment horizontal="center"/>
    </xf>
    <xf numFmtId="167" fontId="59" fillId="7" borderId="0" xfId="0" applyNumberFormat="1" applyFont="1" applyFill="1" applyAlignment="1">
      <alignment horizontal="center"/>
    </xf>
    <xf numFmtId="167" fontId="53" fillId="7" borderId="0" xfId="0" applyNumberFormat="1" applyFont="1" applyFill="1"/>
    <xf numFmtId="167" fontId="58" fillId="7" borderId="10" xfId="1" applyNumberFormat="1" applyFont="1" applyFill="1" applyBorder="1" applyAlignment="1" applyProtection="1"/>
    <xf numFmtId="43" fontId="59" fillId="7" borderId="1" xfId="1" applyFont="1" applyFill="1" applyBorder="1" applyAlignment="1" applyProtection="1">
      <alignment horizontal="left" indent="11"/>
    </xf>
    <xf numFmtId="167" fontId="59" fillId="7" borderId="1" xfId="1" applyNumberFormat="1" applyFont="1" applyFill="1" applyBorder="1" applyAlignment="1" applyProtection="1">
      <alignment horizontal="center"/>
    </xf>
    <xf numFmtId="167" fontId="51" fillId="7" borderId="0" xfId="0" applyNumberFormat="1" applyFont="1" applyFill="1" applyAlignment="1">
      <alignment horizontal="center"/>
    </xf>
    <xf numFmtId="43" fontId="53" fillId="7" borderId="0" xfId="1" applyFont="1" applyFill="1" applyAlignment="1" applyProtection="1"/>
    <xf numFmtId="167" fontId="53" fillId="7" borderId="0" xfId="1" applyNumberFormat="1" applyFont="1" applyFill="1" applyBorder="1" applyAlignment="1" applyProtection="1"/>
    <xf numFmtId="43" fontId="59" fillId="7" borderId="0" xfId="1" applyFont="1" applyFill="1" applyBorder="1" applyAlignment="1" applyProtection="1">
      <alignment horizontal="left" indent="11"/>
    </xf>
    <xf numFmtId="167" fontId="59" fillId="7" borderId="0" xfId="1" applyNumberFormat="1" applyFont="1" applyFill="1" applyBorder="1" applyAlignment="1" applyProtection="1">
      <alignment horizontal="center"/>
    </xf>
    <xf numFmtId="167" fontId="50" fillId="7" borderId="0" xfId="0" applyNumberFormat="1" applyFont="1" applyFill="1" applyAlignment="1">
      <alignment horizontal="center"/>
    </xf>
    <xf numFmtId="43" fontId="53" fillId="7" borderId="2" xfId="1" applyFont="1" applyFill="1" applyBorder="1" applyAlignment="1" applyProtection="1"/>
    <xf numFmtId="167" fontId="53" fillId="7" borderId="2" xfId="0" applyNumberFormat="1" applyFont="1" applyFill="1" applyBorder="1"/>
    <xf numFmtId="1" fontId="51" fillId="7" borderId="0" xfId="1" applyNumberFormat="1" applyFont="1" applyFill="1" applyAlignment="1" applyProtection="1">
      <alignment horizontal="center"/>
    </xf>
    <xf numFmtId="43" fontId="50" fillId="7" borderId="2" xfId="1" applyFont="1" applyFill="1" applyBorder="1" applyAlignment="1" applyProtection="1">
      <alignment horizontal="left" indent="11"/>
    </xf>
    <xf numFmtId="167" fontId="50" fillId="7" borderId="2" xfId="1" applyNumberFormat="1" applyFont="1" applyFill="1" applyBorder="1" applyAlignment="1" applyProtection="1">
      <alignment horizontal="center"/>
    </xf>
    <xf numFmtId="167" fontId="51" fillId="7" borderId="0" xfId="1" applyNumberFormat="1" applyFont="1" applyFill="1" applyAlignment="1" applyProtection="1">
      <alignment horizontal="center"/>
    </xf>
    <xf numFmtId="43" fontId="53" fillId="7" borderId="0" xfId="1" applyFont="1" applyFill="1" applyAlignment="1" applyProtection="1">
      <alignment horizontal="center"/>
    </xf>
    <xf numFmtId="43" fontId="50" fillId="7" borderId="0" xfId="1" applyFont="1" applyFill="1" applyAlignment="1" applyProtection="1"/>
    <xf numFmtId="4" fontId="58" fillId="7" borderId="0" xfId="0" applyNumberFormat="1" applyFont="1" applyFill="1"/>
    <xf numFmtId="167" fontId="58" fillId="7" borderId="0" xfId="0" applyNumberFormat="1" applyFont="1" applyFill="1" applyAlignment="1">
      <alignment horizontal="right"/>
    </xf>
    <xf numFmtId="167" fontId="53" fillId="7" borderId="2" xfId="1" applyNumberFormat="1" applyFont="1" applyFill="1" applyBorder="1" applyAlignment="1" applyProtection="1"/>
    <xf numFmtId="0" fontId="53" fillId="7" borderId="0" xfId="0" applyFont="1" applyFill="1" applyAlignment="1">
      <alignment horizontal="center"/>
    </xf>
    <xf numFmtId="167" fontId="58" fillId="7" borderId="0" xfId="0" applyNumberFormat="1" applyFont="1" applyFill="1" applyAlignment="1">
      <alignment horizontal="center"/>
    </xf>
    <xf numFmtId="1" fontId="27" fillId="8" borderId="12" xfId="1" applyNumberFormat="1" applyFont="1" applyFill="1" applyBorder="1" applyAlignment="1" applyProtection="1">
      <alignment horizontal="center"/>
    </xf>
    <xf numFmtId="0" fontId="27" fillId="8" borderId="12" xfId="0" applyFont="1" applyFill="1" applyBorder="1" applyAlignment="1">
      <alignment horizontal="center"/>
    </xf>
    <xf numFmtId="167" fontId="27" fillId="8" borderId="12" xfId="0" applyNumberFormat="1" applyFont="1" applyFill="1" applyBorder="1" applyAlignment="1">
      <alignment horizontal="center"/>
    </xf>
    <xf numFmtId="167" fontId="27" fillId="8" borderId="15" xfId="0" applyNumberFormat="1" applyFont="1" applyFill="1" applyBorder="1" applyAlignment="1">
      <alignment horizontal="center"/>
    </xf>
    <xf numFmtId="0" fontId="53" fillId="7" borderId="0" xfId="0" applyFont="1" applyFill="1" applyAlignment="1">
      <alignment horizontal="left"/>
    </xf>
    <xf numFmtId="0" fontId="54" fillId="7" borderId="0" xfId="0" applyFont="1" applyFill="1" applyAlignment="1">
      <alignment horizontal="center"/>
    </xf>
    <xf numFmtId="0" fontId="50" fillId="0" borderId="0" xfId="0" applyFont="1" applyAlignment="1">
      <alignment horizontal="center"/>
    </xf>
    <xf numFmtId="1" fontId="35" fillId="7" borderId="8" xfId="0" applyNumberFormat="1" applyFont="1" applyFill="1" applyBorder="1" applyAlignment="1">
      <alignment horizontal="center"/>
    </xf>
    <xf numFmtId="1" fontId="35" fillId="7" borderId="0" xfId="0" applyNumberFormat="1" applyFont="1" applyFill="1" applyAlignment="1">
      <alignment horizontal="center"/>
    </xf>
    <xf numFmtId="0" fontId="35" fillId="7" borderId="0" xfId="0" applyFont="1" applyFill="1" applyAlignment="1">
      <alignment horizontal="center"/>
    </xf>
    <xf numFmtId="167" fontId="35" fillId="7" borderId="0" xfId="0" applyNumberFormat="1" applyFont="1" applyFill="1" applyAlignment="1">
      <alignment horizontal="center"/>
    </xf>
    <xf numFmtId="167" fontId="35" fillId="7" borderId="9" xfId="0" applyNumberFormat="1" applyFont="1" applyFill="1" applyBorder="1" applyAlignment="1">
      <alignment horizontal="center"/>
    </xf>
    <xf numFmtId="1" fontId="35" fillId="7" borderId="14" xfId="0" applyNumberFormat="1" applyFont="1" applyFill="1" applyBorder="1" applyAlignment="1">
      <alignment horizontal="center"/>
    </xf>
    <xf numFmtId="1" fontId="35" fillId="7" borderId="10" xfId="0" applyNumberFormat="1" applyFont="1" applyFill="1" applyBorder="1" applyAlignment="1">
      <alignment horizontal="center"/>
    </xf>
    <xf numFmtId="0" fontId="35" fillId="7" borderId="10" xfId="0" applyFont="1" applyFill="1" applyBorder="1" applyAlignment="1">
      <alignment horizontal="center"/>
    </xf>
    <xf numFmtId="167" fontId="35" fillId="7" borderId="10" xfId="0" applyNumberFormat="1" applyFont="1" applyFill="1" applyBorder="1" applyAlignment="1">
      <alignment horizontal="center"/>
    </xf>
    <xf numFmtId="167" fontId="35" fillId="7" borderId="11" xfId="0" applyNumberFormat="1" applyFont="1" applyFill="1" applyBorder="1" applyAlignment="1">
      <alignment horizontal="center"/>
    </xf>
    <xf numFmtId="167" fontId="60" fillId="7" borderId="0" xfId="0" applyNumberFormat="1" applyFont="1" applyFill="1" applyAlignment="1" applyProtection="1">
      <alignment horizontal="center"/>
      <protection locked="0"/>
    </xf>
    <xf numFmtId="0" fontId="58" fillId="7" borderId="0" xfId="0" applyFont="1" applyFill="1" applyProtection="1">
      <protection locked="0"/>
    </xf>
    <xf numFmtId="0" fontId="53" fillId="7" borderId="0" xfId="0" applyFont="1" applyFill="1" applyAlignment="1" applyProtection="1">
      <alignment horizontal="center"/>
      <protection locked="0"/>
    </xf>
    <xf numFmtId="0" fontId="53" fillId="7" borderId="0" xfId="0" applyFont="1" applyFill="1" applyAlignment="1" applyProtection="1">
      <alignment horizontal="left"/>
      <protection locked="0"/>
    </xf>
    <xf numFmtId="0" fontId="51" fillId="7" borderId="0" xfId="0" applyFont="1" applyFill="1" applyAlignment="1" applyProtection="1">
      <alignment horizontal="center"/>
      <protection locked="0"/>
    </xf>
    <xf numFmtId="0" fontId="54" fillId="7" borderId="0" xfId="0" applyFont="1" applyFill="1" applyAlignment="1" applyProtection="1">
      <alignment horizontal="center"/>
      <protection locked="0"/>
    </xf>
    <xf numFmtId="0" fontId="50" fillId="7" borderId="0" xfId="0" applyFont="1" applyFill="1" applyAlignment="1" applyProtection="1">
      <alignment horizontal="center"/>
      <protection locked="0"/>
    </xf>
    <xf numFmtId="0" fontId="50" fillId="0" borderId="0" xfId="0" applyFont="1" applyAlignment="1" applyProtection="1">
      <alignment horizontal="center"/>
      <protection locked="0"/>
    </xf>
    <xf numFmtId="1" fontId="59" fillId="0" borderId="0" xfId="0" applyNumberFormat="1" applyFont="1" applyAlignment="1" applyProtection="1">
      <alignment horizontal="center"/>
      <protection locked="0"/>
    </xf>
    <xf numFmtId="0" fontId="59" fillId="0" borderId="0" xfId="0" applyFont="1" applyProtection="1">
      <protection locked="0"/>
    </xf>
    <xf numFmtId="167" fontId="59" fillId="0" borderId="0" xfId="0" applyNumberFormat="1" applyFont="1" applyAlignment="1" applyProtection="1">
      <alignment horizontal="center"/>
      <protection locked="0"/>
    </xf>
    <xf numFmtId="167" fontId="51" fillId="7" borderId="0" xfId="0" applyNumberFormat="1" applyFont="1" applyFill="1" applyAlignment="1" applyProtection="1">
      <alignment horizontal="center"/>
      <protection locked="0"/>
    </xf>
    <xf numFmtId="0" fontId="60" fillId="7" borderId="0" xfId="0" applyFont="1" applyFill="1" applyProtection="1">
      <protection locked="0"/>
    </xf>
    <xf numFmtId="1" fontId="27" fillId="8" borderId="13" xfId="1" applyNumberFormat="1" applyFont="1" applyFill="1" applyBorder="1" applyAlignment="1" applyProtection="1">
      <alignment horizontal="center" vertical="center"/>
      <protection locked="0"/>
    </xf>
    <xf numFmtId="0" fontId="27" fillId="8" borderId="12" xfId="0" applyFont="1" applyFill="1" applyBorder="1" applyAlignment="1" applyProtection="1">
      <alignment horizontal="left" vertical="center"/>
      <protection locked="0"/>
    </xf>
    <xf numFmtId="167" fontId="27" fillId="8" borderId="12" xfId="0" applyNumberFormat="1" applyFont="1" applyFill="1" applyBorder="1" applyAlignment="1" applyProtection="1">
      <alignment horizontal="center" vertical="center"/>
      <protection locked="0"/>
    </xf>
    <xf numFmtId="167" fontId="27" fillId="8" borderId="15" xfId="0" applyNumberFormat="1" applyFont="1" applyFill="1" applyBorder="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167" fontId="53"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protection locked="0"/>
    </xf>
    <xf numFmtId="0" fontId="61" fillId="7" borderId="0" xfId="0" applyFont="1" applyFill="1" applyProtection="1">
      <protection locked="0"/>
    </xf>
    <xf numFmtId="0" fontId="59" fillId="7" borderId="0" xfId="0" applyFont="1" applyFill="1" applyProtection="1">
      <protection locked="0"/>
    </xf>
    <xf numFmtId="167" fontId="32" fillId="7" borderId="5" xfId="0" applyNumberFormat="1" applyFont="1" applyFill="1" applyBorder="1" applyAlignment="1" applyProtection="1">
      <alignment horizontal="center" vertical="center" wrapText="1"/>
      <protection locked="0"/>
    </xf>
    <xf numFmtId="167" fontId="32" fillId="7" borderId="6" xfId="0" applyNumberFormat="1" applyFont="1" applyFill="1" applyBorder="1" applyAlignment="1" applyProtection="1">
      <alignment horizontal="center" vertical="center" wrapText="1"/>
      <protection locked="0"/>
    </xf>
    <xf numFmtId="0" fontId="32" fillId="7" borderId="6" xfId="0" applyFont="1" applyFill="1" applyBorder="1" applyAlignment="1" applyProtection="1">
      <alignment horizontal="left" vertical="center" wrapText="1" indent="11"/>
      <protection locked="0"/>
    </xf>
    <xf numFmtId="0" fontId="32" fillId="7" borderId="7" xfId="0" applyFont="1" applyFill="1" applyBorder="1" applyAlignment="1" applyProtection="1">
      <alignment horizontal="center" vertical="center" wrapText="1"/>
      <protection locked="0"/>
    </xf>
    <xf numFmtId="0" fontId="51" fillId="7" borderId="0" xfId="0" applyFont="1" applyFill="1" applyProtection="1">
      <protection locked="0"/>
    </xf>
    <xf numFmtId="167" fontId="58" fillId="7" borderId="0" xfId="1" applyNumberFormat="1" applyFont="1" applyFill="1" applyAlignment="1" applyProtection="1">
      <alignment horizontal="right"/>
      <protection locked="0"/>
    </xf>
    <xf numFmtId="172" fontId="58" fillId="7" borderId="0" xfId="0" applyNumberFormat="1" applyFont="1" applyFill="1" applyAlignment="1" applyProtection="1">
      <alignment horizontal="center"/>
      <protection locked="0"/>
    </xf>
    <xf numFmtId="167" fontId="28" fillId="9" borderId="13" xfId="1" applyNumberFormat="1" applyFont="1" applyFill="1" applyBorder="1" applyAlignment="1" applyProtection="1">
      <alignment horizontal="right"/>
      <protection locked="0"/>
    </xf>
    <xf numFmtId="174" fontId="28" fillId="7" borderId="12" xfId="1" applyNumberFormat="1" applyFont="1" applyFill="1" applyBorder="1" applyAlignment="1" applyProtection="1">
      <alignment horizontal="right"/>
      <protection locked="0"/>
    </xf>
    <xf numFmtId="43" fontId="28" fillId="7" borderId="12" xfId="1" applyFont="1" applyFill="1" applyBorder="1" applyAlignment="1" applyProtection="1">
      <alignment horizontal="left" indent="11"/>
      <protection locked="0"/>
    </xf>
    <xf numFmtId="167" fontId="33" fillId="2" borderId="12" xfId="0" applyNumberFormat="1" applyFont="1" applyFill="1" applyBorder="1" applyAlignment="1" applyProtection="1">
      <alignment horizontal="center"/>
      <protection locked="0"/>
    </xf>
    <xf numFmtId="172" fontId="28" fillId="7" borderId="15" xfId="0" applyNumberFormat="1" applyFont="1" applyFill="1" applyBorder="1" applyAlignment="1" applyProtection="1">
      <alignment horizontal="center"/>
      <protection locked="0"/>
    </xf>
    <xf numFmtId="167" fontId="28" fillId="9" borderId="8" xfId="1" applyNumberFormat="1" applyFont="1" applyFill="1" applyBorder="1" applyAlignment="1" applyProtection="1">
      <alignment horizontal="right"/>
      <protection locked="0"/>
    </xf>
    <xf numFmtId="174" fontId="28" fillId="7" borderId="0" xfId="1" applyNumberFormat="1" applyFont="1" applyFill="1" applyBorder="1" applyAlignment="1" applyProtection="1">
      <alignment horizontal="right"/>
      <protection locked="0"/>
    </xf>
    <xf numFmtId="43" fontId="28" fillId="7" borderId="0" xfId="1" applyFont="1" applyFill="1" applyBorder="1" applyAlignment="1" applyProtection="1">
      <alignment horizontal="left" indent="11"/>
      <protection locked="0"/>
    </xf>
    <xf numFmtId="167" fontId="33" fillId="2" borderId="0" xfId="0" applyNumberFormat="1" applyFont="1" applyFill="1" applyAlignment="1" applyProtection="1">
      <alignment horizontal="center"/>
      <protection locked="0"/>
    </xf>
    <xf numFmtId="172" fontId="28" fillId="7" borderId="9" xfId="0" applyNumberFormat="1" applyFont="1" applyFill="1" applyBorder="1" applyAlignment="1" applyProtection="1">
      <alignment horizontal="center"/>
      <protection locked="0"/>
    </xf>
    <xf numFmtId="4" fontId="61" fillId="7" borderId="0" xfId="0" applyNumberFormat="1" applyFont="1" applyFill="1" applyProtection="1">
      <protection locked="0"/>
    </xf>
    <xf numFmtId="167" fontId="58" fillId="7" borderId="2" xfId="1" applyNumberFormat="1" applyFont="1" applyFill="1" applyBorder="1" applyAlignment="1" applyProtection="1">
      <alignment horizontal="right"/>
      <protection locked="0"/>
    </xf>
    <xf numFmtId="167" fontId="53" fillId="7" borderId="2" xfId="0" applyNumberFormat="1" applyFont="1" applyFill="1" applyBorder="1" applyAlignment="1" applyProtection="1">
      <alignment horizontal="center"/>
      <protection locked="0"/>
    </xf>
    <xf numFmtId="4" fontId="58" fillId="7" borderId="0" xfId="0" applyNumberFormat="1" applyFont="1" applyFill="1" applyProtection="1">
      <protection locked="0"/>
    </xf>
    <xf numFmtId="4" fontId="60" fillId="7" borderId="0" xfId="0" applyNumberFormat="1" applyFont="1" applyFill="1" applyProtection="1">
      <protection locked="0"/>
    </xf>
    <xf numFmtId="167" fontId="28" fillId="9" borderId="14" xfId="1" applyNumberFormat="1" applyFont="1" applyFill="1" applyBorder="1" applyAlignment="1" applyProtection="1">
      <alignment horizontal="right"/>
      <protection locked="0"/>
    </xf>
    <xf numFmtId="167" fontId="28" fillId="7" borderId="10" xfId="0" applyNumberFormat="1" applyFont="1" applyFill="1" applyBorder="1" applyAlignment="1" applyProtection="1">
      <alignment horizontal="right"/>
      <protection locked="0"/>
    </xf>
    <xf numFmtId="43" fontId="32" fillId="7" borderId="16" xfId="1" applyFont="1" applyFill="1" applyBorder="1" applyAlignment="1" applyProtection="1">
      <alignment horizontal="left" indent="11"/>
      <protection locked="0"/>
    </xf>
    <xf numFmtId="167" fontId="32" fillId="0" borderId="16" xfId="0" applyNumberFormat="1" applyFont="1" applyBorder="1" applyAlignment="1" applyProtection="1">
      <alignment horizontal="center"/>
      <protection locked="0"/>
    </xf>
    <xf numFmtId="167" fontId="32" fillId="7" borderId="17" xfId="0" applyNumberFormat="1" applyFont="1" applyFill="1" applyBorder="1" applyAlignment="1" applyProtection="1">
      <alignment horizontal="center"/>
      <protection locked="0"/>
    </xf>
    <xf numFmtId="0" fontId="60" fillId="7" borderId="0" xfId="0" applyFont="1" applyFill="1" applyAlignment="1" applyProtection="1">
      <alignment horizontal="center"/>
      <protection locked="0"/>
    </xf>
    <xf numFmtId="0" fontId="53" fillId="7" borderId="0" xfId="0" applyFont="1" applyFill="1" applyProtection="1">
      <protection locked="0"/>
    </xf>
    <xf numFmtId="167" fontId="60" fillId="7" borderId="0" xfId="0" applyNumberFormat="1" applyFont="1" applyFill="1" applyProtection="1">
      <protection locked="0"/>
    </xf>
    <xf numFmtId="1" fontId="27" fillId="8" borderId="13" xfId="0" applyNumberFormat="1" applyFont="1" applyFill="1" applyBorder="1" applyAlignment="1" applyProtection="1">
      <alignment horizontal="center"/>
      <protection locked="0"/>
    </xf>
    <xf numFmtId="1" fontId="27" fillId="8" borderId="12" xfId="0" applyNumberFormat="1" applyFont="1" applyFill="1" applyBorder="1" applyAlignment="1" applyProtection="1">
      <alignment horizontal="center"/>
      <protection locked="0"/>
    </xf>
    <xf numFmtId="0" fontId="35" fillId="7" borderId="12" xfId="0" applyFont="1" applyFill="1" applyBorder="1" applyProtection="1">
      <protection locked="0"/>
    </xf>
    <xf numFmtId="0" fontId="28" fillId="7" borderId="12" xfId="0" applyFont="1" applyFill="1" applyBorder="1" applyAlignment="1" applyProtection="1">
      <alignment horizontal="center"/>
      <protection locked="0"/>
    </xf>
    <xf numFmtId="0" fontId="28" fillId="7" borderId="15" xfId="0" applyFont="1" applyFill="1" applyBorder="1" applyAlignment="1" applyProtection="1">
      <alignment horizontal="center"/>
      <protection locked="0"/>
    </xf>
    <xf numFmtId="1" fontId="27" fillId="8" borderId="14" xfId="0" applyNumberFormat="1" applyFont="1" applyFill="1" applyBorder="1" applyAlignment="1" applyProtection="1">
      <alignment horizontal="center"/>
      <protection locked="0"/>
    </xf>
    <xf numFmtId="1" fontId="27" fillId="8" borderId="10" xfId="0" applyNumberFormat="1" applyFont="1" applyFill="1" applyBorder="1" applyAlignment="1" applyProtection="1">
      <alignment horizontal="center"/>
      <protection locked="0"/>
    </xf>
    <xf numFmtId="0" fontId="35" fillId="7" borderId="10" xfId="0" applyFont="1" applyFill="1" applyBorder="1" applyProtection="1">
      <protection locked="0"/>
    </xf>
    <xf numFmtId="0" fontId="28" fillId="7" borderId="10" xfId="0" applyFont="1" applyFill="1" applyBorder="1" applyAlignment="1" applyProtection="1">
      <alignment horizontal="center"/>
      <protection locked="0"/>
    </xf>
    <xf numFmtId="0" fontId="28" fillId="7" borderId="11" xfId="0" applyFont="1" applyFill="1" applyBorder="1" applyAlignment="1" applyProtection="1">
      <alignment horizontal="center"/>
      <protection locked="0"/>
    </xf>
    <xf numFmtId="1" fontId="28" fillId="0" borderId="0" xfId="0" applyNumberFormat="1" applyFont="1" applyAlignment="1" applyProtection="1">
      <alignment horizontal="center"/>
      <protection locked="0"/>
    </xf>
    <xf numFmtId="1" fontId="28" fillId="7" borderId="0" xfId="0" applyNumberFormat="1" applyFont="1" applyFill="1" applyAlignment="1" applyProtection="1">
      <alignment horizontal="center"/>
      <protection locked="0"/>
    </xf>
    <xf numFmtId="0" fontId="28" fillId="7" borderId="0" xfId="0" applyFont="1" applyFill="1" applyProtection="1">
      <protection locked="0"/>
    </xf>
    <xf numFmtId="0" fontId="28" fillId="7" borderId="0" xfId="0" applyFont="1" applyFill="1" applyAlignment="1" applyProtection="1">
      <alignment horizontal="center"/>
      <protection locked="0"/>
    </xf>
    <xf numFmtId="1" fontId="27" fillId="8" borderId="18" xfId="0" applyNumberFormat="1" applyFont="1" applyFill="1" applyBorder="1" applyAlignment="1" applyProtection="1">
      <alignment horizontal="center" wrapText="1"/>
      <protection locked="0"/>
    </xf>
    <xf numFmtId="175" fontId="28" fillId="7" borderId="0" xfId="0" applyNumberFormat="1" applyFont="1" applyFill="1" applyAlignment="1" applyProtection="1">
      <alignment horizontal="right"/>
      <protection locked="0"/>
    </xf>
    <xf numFmtId="43" fontId="28" fillId="7" borderId="0" xfId="1" applyFont="1" applyFill="1" applyAlignment="1" applyProtection="1">
      <protection locked="0"/>
    </xf>
    <xf numFmtId="14" fontId="28" fillId="7" borderId="0" xfId="0" applyNumberFormat="1" applyFont="1" applyFill="1" applyAlignment="1" applyProtection="1">
      <alignment horizontal="center"/>
      <protection locked="0"/>
    </xf>
    <xf numFmtId="1" fontId="35" fillId="7" borderId="0" xfId="0" applyNumberFormat="1" applyFont="1" applyFill="1" applyAlignment="1" applyProtection="1">
      <alignment horizontal="right"/>
      <protection locked="0"/>
    </xf>
    <xf numFmtId="0" fontId="35" fillId="7" borderId="0" xfId="0" applyFont="1" applyFill="1" applyProtection="1">
      <protection locked="0"/>
    </xf>
    <xf numFmtId="170" fontId="59" fillId="7" borderId="0" xfId="0" applyNumberFormat="1" applyFont="1" applyFill="1" applyAlignment="1">
      <alignment horizontal="center"/>
    </xf>
    <xf numFmtId="0" fontId="59" fillId="0" borderId="0" xfId="0" applyFont="1" applyAlignment="1">
      <alignment horizontal="center"/>
    </xf>
    <xf numFmtId="1" fontId="59" fillId="0" borderId="0" xfId="0" applyNumberFormat="1" applyFont="1" applyAlignment="1">
      <alignment horizontal="center"/>
    </xf>
    <xf numFmtId="43" fontId="64" fillId="7" borderId="0" xfId="1" applyFont="1" applyFill="1" applyAlignment="1" applyProtection="1">
      <alignment horizontal="right"/>
    </xf>
    <xf numFmtId="0" fontId="65" fillId="0" borderId="0" xfId="0" applyFont="1"/>
    <xf numFmtId="0" fontId="4" fillId="0" borderId="0" xfId="0" applyFont="1"/>
    <xf numFmtId="49" fontId="29" fillId="2" borderId="0" xfId="1" applyNumberFormat="1" applyFont="1" applyFill="1" applyBorder="1" applyAlignment="1" applyProtection="1">
      <alignment horizontal="center"/>
      <protection locked="0"/>
    </xf>
    <xf numFmtId="49" fontId="29" fillId="2" borderId="9" xfId="1" applyNumberFormat="1" applyFont="1" applyFill="1" applyBorder="1" applyAlignment="1" applyProtection="1">
      <alignment horizontal="center"/>
      <protection locked="0"/>
    </xf>
    <xf numFmtId="43" fontId="66" fillId="2" borderId="6" xfId="1" applyFont="1" applyFill="1" applyBorder="1" applyAlignment="1" applyProtection="1">
      <alignment horizontal="center" vertical="center"/>
    </xf>
    <xf numFmtId="43" fontId="27" fillId="8" borderId="6" xfId="1" applyFont="1" applyFill="1" applyBorder="1" applyAlignment="1" applyProtection="1">
      <alignment horizontal="center"/>
    </xf>
    <xf numFmtId="43" fontId="27" fillId="8" borderId="7" xfId="1" applyFont="1" applyFill="1" applyBorder="1" applyAlignment="1" applyProtection="1">
      <alignment horizontal="center"/>
    </xf>
    <xf numFmtId="3" fontId="62" fillId="8" borderId="19" xfId="0" applyNumberFormat="1" applyFont="1" applyFill="1" applyBorder="1" applyAlignment="1">
      <alignment horizontal="center" vertical="center"/>
    </xf>
    <xf numFmtId="3" fontId="62" fillId="8" borderId="20" xfId="0" applyNumberFormat="1" applyFont="1" applyFill="1" applyBorder="1" applyAlignment="1">
      <alignment horizontal="center" vertical="center"/>
    </xf>
    <xf numFmtId="3" fontId="62" fillId="8" borderId="15" xfId="0" applyNumberFormat="1" applyFont="1" applyFill="1" applyBorder="1" applyAlignment="1">
      <alignment horizontal="center" vertical="center" wrapText="1"/>
    </xf>
    <xf numFmtId="3" fontId="62" fillId="8" borderId="11" xfId="0" applyNumberFormat="1" applyFont="1" applyFill="1" applyBorder="1" applyAlignment="1">
      <alignment horizontal="center" vertical="center" wrapText="1"/>
    </xf>
    <xf numFmtId="49" fontId="31" fillId="2" borderId="0" xfId="2" applyNumberFormat="1" applyFont="1" applyFill="1" applyBorder="1" applyAlignment="1" applyProtection="1">
      <alignment horizontal="center"/>
      <protection locked="0"/>
    </xf>
    <xf numFmtId="49" fontId="30" fillId="2" borderId="0" xfId="2" applyNumberFormat="1" applyFont="1" applyFill="1" applyBorder="1" applyAlignment="1" applyProtection="1">
      <alignment horizontal="center"/>
      <protection locked="0"/>
    </xf>
    <xf numFmtId="49" fontId="30" fillId="2" borderId="9" xfId="2" applyNumberFormat="1" applyFont="1" applyFill="1" applyBorder="1" applyAlignment="1" applyProtection="1">
      <alignment horizontal="center"/>
      <protection locked="0"/>
    </xf>
    <xf numFmtId="170" fontId="31" fillId="2" borderId="0" xfId="2" applyNumberFormat="1" applyFont="1" applyFill="1" applyBorder="1" applyAlignment="1" applyProtection="1">
      <alignment horizontal="center"/>
      <protection locked="0"/>
    </xf>
    <xf numFmtId="170" fontId="29" fillId="2" borderId="0" xfId="0" applyNumberFormat="1" applyFont="1" applyFill="1" applyAlignment="1" applyProtection="1">
      <alignment horizontal="center"/>
      <protection locked="0"/>
    </xf>
    <xf numFmtId="170" fontId="29" fillId="2" borderId="9" xfId="0" applyNumberFormat="1" applyFont="1" applyFill="1" applyBorder="1" applyAlignment="1" applyProtection="1">
      <alignment horizontal="center"/>
      <protection locked="0"/>
    </xf>
    <xf numFmtId="49" fontId="29" fillId="2" borderId="0" xfId="0" applyNumberFormat="1" applyFont="1" applyFill="1" applyAlignment="1" applyProtection="1">
      <alignment horizontal="center"/>
      <protection locked="0"/>
    </xf>
    <xf numFmtId="49" fontId="29" fillId="2" borderId="9" xfId="0" applyNumberFormat="1" applyFont="1" applyFill="1" applyBorder="1" applyAlignment="1" applyProtection="1">
      <alignment horizontal="center"/>
      <protection locked="0"/>
    </xf>
    <xf numFmtId="43" fontId="29" fillId="2" borderId="0" xfId="1" applyFont="1" applyFill="1" applyBorder="1" applyAlignment="1" applyProtection="1">
      <alignment horizontal="center"/>
      <protection locked="0"/>
    </xf>
    <xf numFmtId="43" fontId="29" fillId="2" borderId="9" xfId="1" applyFont="1" applyFill="1" applyBorder="1" applyAlignment="1" applyProtection="1">
      <alignment horizontal="center"/>
      <protection locked="0"/>
    </xf>
    <xf numFmtId="0" fontId="47" fillId="0" borderId="0" xfId="0" applyFont="1" applyAlignment="1" applyProtection="1">
      <alignment wrapText="1"/>
      <protection hidden="1"/>
    </xf>
    <xf numFmtId="0" fontId="0" fillId="0" borderId="0" xfId="0"/>
    <xf numFmtId="0" fontId="47" fillId="0" borderId="21" xfId="0" applyFont="1" applyBorder="1" applyAlignment="1" applyProtection="1">
      <alignment horizontal="left" vertical="top" wrapText="1"/>
      <protection hidden="1"/>
    </xf>
    <xf numFmtId="0" fontId="4" fillId="0" borderId="21" xfId="0" applyFont="1" applyBorder="1" applyAlignment="1">
      <alignment horizontal="left"/>
    </xf>
  </cellXfs>
  <cellStyles count="3">
    <cellStyle name="Comma" xfId="1" builtinId="3"/>
    <cellStyle name="Hyperlink" xfId="2" builtinId="8"/>
    <cellStyle name="Normal" xfId="0" builtinId="0"/>
  </cellStyles>
  <dxfs count="4">
    <dxf>
      <fill>
        <patternFill>
          <bgColor indexed="8"/>
        </patternFill>
      </fill>
    </dxf>
    <dxf>
      <font>
        <strike val="0"/>
        <outline val="0"/>
        <shadow val="0"/>
        <vertAlign val="baseline"/>
        <sz val="18"/>
        <name val="Calibri"/>
        <scheme val="minor"/>
      </font>
      <fill>
        <patternFill patternType="solid">
          <fgColor indexed="64"/>
          <bgColor theme="0"/>
        </patternFill>
      </fill>
    </dxf>
    <dxf>
      <font>
        <strike val="0"/>
        <outline val="0"/>
        <shadow val="0"/>
        <vertAlign val="baseline"/>
        <sz val="18"/>
        <name val="Calibri"/>
        <scheme val="minor"/>
      </font>
      <fill>
        <patternFill patternType="solid">
          <fgColor indexed="64"/>
          <bgColor theme="0"/>
        </patternFill>
      </fill>
    </dxf>
    <dxf>
      <font>
        <b/>
        <i val="0"/>
        <strike val="0"/>
        <condense val="0"/>
        <extend val="0"/>
        <outline val="0"/>
        <shadow val="0"/>
        <u val="none"/>
        <vertAlign val="baseline"/>
        <sz val="18"/>
        <color indexed="9"/>
        <name val="Calibri"/>
        <scheme val="minor"/>
      </font>
      <fill>
        <patternFill patternType="solid">
          <fgColor indexed="64"/>
          <bgColor theme="0"/>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Basis of Costs'!A1"/><Relationship Id="rId2" Type="http://schemas.openxmlformats.org/officeDocument/2006/relationships/hyperlink" Target="#'Cost of Attendance'!A1"/><Relationship Id="rId1" Type="http://schemas.openxmlformats.org/officeDocument/2006/relationships/hyperlink" Target="#Introduction!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xdr:col>
      <xdr:colOff>681990</xdr:colOff>
      <xdr:row>5</xdr:row>
      <xdr:rowOff>133350</xdr:rowOff>
    </xdr:from>
    <xdr:to>
      <xdr:col>5</xdr:col>
      <xdr:colOff>662977</xdr:colOff>
      <xdr:row>13</xdr:row>
      <xdr:rowOff>9525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ECC8C32B-A94B-CE72-1402-982A4082AC68}"/>
            </a:ext>
          </a:extLst>
        </xdr:cNvPr>
        <xdr:cNvSpPr txBox="1"/>
      </xdr:nvSpPr>
      <xdr:spPr>
        <a:xfrm>
          <a:off x="1152525" y="9525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pPr algn="ctr"/>
          <a:r>
            <a:rPr lang="en-GB" sz="1600" b="1"/>
            <a:t>Step</a:t>
          </a:r>
          <a:r>
            <a:rPr lang="en-GB" sz="1600" b="1" baseline="0"/>
            <a:t> 1: </a:t>
          </a:r>
          <a:r>
            <a:rPr lang="en-GB" sz="1600" b="1"/>
            <a:t>Introduction </a:t>
          </a:r>
          <a:endParaRPr lang="en-GB" sz="1100" b="1"/>
        </a:p>
        <a:p>
          <a:pPr algn="ctr"/>
          <a:r>
            <a:rPr lang="en-GB" sz="1100" b="1"/>
            <a:t>Information</a:t>
          </a:r>
          <a:r>
            <a:rPr lang="en-GB" sz="1100" b="1" baseline="0"/>
            <a:t> only - please read</a:t>
          </a:r>
          <a:endParaRPr lang="en-GB" sz="1100" b="1"/>
        </a:p>
      </xdr:txBody>
    </xdr:sp>
    <xdr:clientData/>
  </xdr:twoCellAnchor>
  <xdr:twoCellAnchor>
    <xdr:from>
      <xdr:col>6</xdr:col>
      <xdr:colOff>144145</xdr:colOff>
      <xdr:row>6</xdr:row>
      <xdr:rowOff>0</xdr:rowOff>
    </xdr:from>
    <xdr:to>
      <xdr:col>10</xdr:col>
      <xdr:colOff>146100</xdr:colOff>
      <xdr:row>13</xdr:row>
      <xdr:rowOff>28575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91F64919-015E-06CC-7961-B7278DE313B4}"/>
            </a:ext>
          </a:extLst>
        </xdr:cNvPr>
        <xdr:cNvSpPr txBox="1"/>
      </xdr:nvSpPr>
      <xdr:spPr>
        <a:xfrm>
          <a:off x="3781425" y="97155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GB" sz="1100"/>
        </a:p>
        <a:p>
          <a:pPr>
            <a:lnSpc>
              <a:spcPts val="1100"/>
            </a:lnSpc>
          </a:pPr>
          <a:endParaRPr lang="en-GB" sz="1100"/>
        </a:p>
        <a:p>
          <a:pPr algn="ctr">
            <a:lnSpc>
              <a:spcPts val="1300"/>
            </a:lnSpc>
          </a:pPr>
          <a:r>
            <a:rPr lang="en-GB" sz="1400" b="1"/>
            <a:t>Step 3: Cost of attendance spreadsheet</a:t>
          </a:r>
        </a:p>
      </xdr:txBody>
    </xdr:sp>
    <xdr:clientData/>
  </xdr:twoCellAnchor>
  <xdr:twoCellAnchor>
    <xdr:from>
      <xdr:col>1</xdr:col>
      <xdr:colOff>704215</xdr:colOff>
      <xdr:row>13</xdr:row>
      <xdr:rowOff>95250</xdr:rowOff>
    </xdr:from>
    <xdr:to>
      <xdr:col>5</xdr:col>
      <xdr:colOff>683944</xdr:colOff>
      <xdr:row>20</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7C29D3EC-E137-14E0-190C-3ECE17BDC83A}"/>
            </a:ext>
          </a:extLst>
        </xdr:cNvPr>
        <xdr:cNvSpPr txBox="1"/>
      </xdr:nvSpPr>
      <xdr:spPr>
        <a:xfrm>
          <a:off x="1171575" y="22098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0"/>
        </a:p>
        <a:p>
          <a:pPr algn="ctr"/>
          <a:endParaRPr lang="en-GB" sz="1400" b="1"/>
        </a:p>
        <a:p>
          <a:pPr algn="ctr"/>
          <a:r>
            <a:rPr lang="en-GB" sz="1600" b="1"/>
            <a:t>Step 2: Basis</a:t>
          </a:r>
          <a:r>
            <a:rPr lang="en-GB" sz="1600" b="1" baseline="0"/>
            <a:t> of costs</a:t>
          </a:r>
          <a:endParaRPr lang="en-GB" sz="1600" b="1"/>
        </a:p>
        <a:p>
          <a:pPr marL="0" marR="0" indent="0" algn="ctr"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Information</a:t>
          </a:r>
          <a:r>
            <a:rPr lang="en-GB" sz="1100" b="1" baseline="0">
              <a:solidFill>
                <a:schemeClr val="dk1"/>
              </a:solidFill>
              <a:effectLst/>
              <a:latin typeface="+mn-lt"/>
              <a:ea typeface="+mn-ea"/>
              <a:cs typeface="+mn-cs"/>
            </a:rPr>
            <a:t> only - please read</a:t>
          </a:r>
          <a:endParaRPr lang="en-GB" sz="1400">
            <a:effectLst/>
          </a:endParaRPr>
        </a:p>
        <a:p>
          <a:pPr algn="ctr"/>
          <a:endParaRPr lang="en-GB"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7796530</xdr:colOff>
      <xdr:row>4</xdr:row>
      <xdr:rowOff>125095</xdr:rowOff>
    </xdr:from>
    <xdr:to>
      <xdr:col>4</xdr:col>
      <xdr:colOff>686477</xdr:colOff>
      <xdr:row>10</xdr:row>
      <xdr:rowOff>106045</xdr:rowOff>
    </xdr:to>
    <xdr:sp macro="" textlink="">
      <xdr:nvSpPr>
        <xdr:cNvPr id="3" name="TextBox 2">
          <a:hlinkClick xmlns:r="http://schemas.openxmlformats.org/officeDocument/2006/relationships" r:id="rId1"/>
          <a:extLst>
            <a:ext uri="{FF2B5EF4-FFF2-40B4-BE49-F238E27FC236}">
              <a16:creationId xmlns:a16="http://schemas.microsoft.com/office/drawing/2014/main" id="{976CB990-029A-1234-12CD-53A348E25D8A}"/>
            </a:ext>
          </a:extLst>
        </xdr:cNvPr>
        <xdr:cNvSpPr txBox="1"/>
      </xdr:nvSpPr>
      <xdr:spPr>
        <a:xfrm>
          <a:off x="7800975" y="971550"/>
          <a:ext cx="2771775" cy="98107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bg1"/>
            </a:solidFill>
          </a:endParaRPr>
        </a:p>
        <a:p>
          <a:endParaRPr lang="en-GB" sz="1100">
            <a:solidFill>
              <a:schemeClr val="bg1"/>
            </a:solidFill>
          </a:endParaRPr>
        </a:p>
        <a:p>
          <a:pPr algn="ctr"/>
          <a:r>
            <a:rPr lang="en-GB" sz="1600" b="1">
              <a:solidFill>
                <a:schemeClr val="bg1"/>
              </a:solidFill>
            </a:rPr>
            <a:t>BACK TO 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420407</xdr:colOff>
      <xdr:row>4</xdr:row>
      <xdr:rowOff>162968</xdr:rowOff>
    </xdr:to>
    <xdr:sp macro="" textlink="">
      <xdr:nvSpPr>
        <xdr:cNvPr id="7" name="TextBox 6">
          <a:hlinkClick xmlns:r="http://schemas.openxmlformats.org/officeDocument/2006/relationships" r:id="rId1"/>
          <a:extLst>
            <a:ext uri="{FF2B5EF4-FFF2-40B4-BE49-F238E27FC236}">
              <a16:creationId xmlns:a16="http://schemas.microsoft.com/office/drawing/2014/main" id="{B4F2541B-2FB3-44D6-512A-B050A796039F}"/>
            </a:ext>
          </a:extLst>
        </xdr:cNvPr>
        <xdr:cNvSpPr txBox="1"/>
      </xdr:nvSpPr>
      <xdr:spPr>
        <a:xfrm>
          <a:off x="8896350" y="476250"/>
          <a:ext cx="2771775" cy="981075"/>
        </a:xfrm>
        <a:prstGeom prst="rect">
          <a:avLst/>
        </a:prstGeom>
        <a:solidFill>
          <a:srgbClr val="4F81BD">
            <a:lumMod val="60000"/>
            <a:lumOff val="4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a:ea typeface="+mn-ea"/>
              <a:cs typeface="+mn-cs"/>
            </a:rPr>
            <a:t>BACK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53794</xdr:colOff>
      <xdr:row>40</xdr:row>
      <xdr:rowOff>19687</xdr:rowOff>
    </xdr:from>
    <xdr:to>
      <xdr:col>2</xdr:col>
      <xdr:colOff>4319347</xdr:colOff>
      <xdr:row>47</xdr:row>
      <xdr:rowOff>68619</xdr:rowOff>
    </xdr:to>
    <xdr:sp macro="" textlink="">
      <xdr:nvSpPr>
        <xdr:cNvPr id="1025" name="Text Box 1">
          <a:extLst>
            <a:ext uri="{FF2B5EF4-FFF2-40B4-BE49-F238E27FC236}">
              <a16:creationId xmlns:a16="http://schemas.microsoft.com/office/drawing/2014/main" id="{F3A29081-DF6E-3729-7A0D-3B83F2B7C961}"/>
            </a:ext>
          </a:extLst>
        </xdr:cNvPr>
        <xdr:cNvSpPr txBox="1">
          <a:spLocks noChangeArrowheads="1"/>
        </xdr:cNvSpPr>
      </xdr:nvSpPr>
      <xdr:spPr bwMode="auto">
        <a:xfrm>
          <a:off x="41094" y="8361047"/>
          <a:ext cx="7251246" cy="1423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panose="020B0604020202020204" pitchFamily="34" charset="0"/>
              <a:cs typeface="Arial" panose="020B0604020202020204" pitchFamily="34" charset="0"/>
            </a:rPr>
            <a:t>These are the maximum estimated figures</a:t>
          </a: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Your costs may be different depending on where you stay in London and whether you have your dependent children with you in London. If you believe your costs will be different, then please adjust the weekly figures in the boxes. There is an undisclosed maximum value and if you exceed this value then your expected costs will be disallowed without full justification.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1598295</xdr:colOff>
      <xdr:row>4</xdr:row>
      <xdr:rowOff>49529</xdr:rowOff>
    </xdr:from>
    <xdr:to>
      <xdr:col>1</xdr:col>
      <xdr:colOff>3930387</xdr:colOff>
      <xdr:row>8</xdr:row>
      <xdr:rowOff>66674</xdr:rowOff>
    </xdr:to>
    <xdr:sp macro="" textlink="">
      <xdr:nvSpPr>
        <xdr:cNvPr id="5" name="TextBox 4">
          <a:extLst>
            <a:ext uri="{FF2B5EF4-FFF2-40B4-BE49-F238E27FC236}">
              <a16:creationId xmlns:a16="http://schemas.microsoft.com/office/drawing/2014/main" id="{FED78B00-4B97-D6B5-E10F-D26497482AE8}"/>
            </a:ext>
          </a:extLst>
        </xdr:cNvPr>
        <xdr:cNvSpPr txBox="1"/>
      </xdr:nvSpPr>
      <xdr:spPr>
        <a:xfrm>
          <a:off x="3550920" y="1344929"/>
          <a:ext cx="2335484"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a:solidFill>
                <a:schemeClr val="dk1"/>
              </a:solidFill>
              <a:latin typeface="+mn-lt"/>
              <a:ea typeface="+mn-lt"/>
              <a:cs typeface="+mn-lt"/>
            </a:rPr>
            <a:t>The Courtauld Institute of Art</a:t>
          </a:r>
          <a:r>
            <a:rPr 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S</a:t>
          </a:r>
          <a:r>
            <a:rPr lang="en-US" sz="1100" b="0" i="0">
              <a:solidFill>
                <a:schemeClr val="dk1"/>
              </a:solidFill>
              <a:latin typeface="+mn-lt"/>
              <a:ea typeface="+mn-lt"/>
              <a:cs typeface="+mn-lt"/>
            </a:rPr>
            <a:t>omerset House</a:t>
          </a:r>
          <a:r>
            <a:rPr 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a:t>
          </a:r>
          <a:r>
            <a:rPr lang="en-US" sz="1100" b="0" i="0">
              <a:solidFill>
                <a:schemeClr val="dk1"/>
              </a:solidFill>
              <a:latin typeface="+mn-lt"/>
              <a:ea typeface="+mn-lt"/>
              <a:cs typeface="+mn-lt"/>
            </a:rPr>
            <a:t>Strand</a:t>
          </a:r>
          <a:r>
            <a:rPr 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a:t>
          </a:r>
          <a:r>
            <a:rPr lang="en-US" sz="1100" b="0" i="0">
              <a:solidFill>
                <a:schemeClr val="dk1"/>
              </a:solidFill>
              <a:latin typeface="+mn-lt"/>
              <a:ea typeface="+mn-lt"/>
              <a:cs typeface="+mn-lt"/>
            </a:rPr>
            <a:t>London WC2R 0RN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G8:G10" totalsRowShown="0" headerRowDxfId="3" dataDxfId="2">
  <autoFilter ref="G8:G10" xr:uid="{00000000-0009-0000-0100-000001000000}"/>
  <tableColumns count="1">
    <tableColumn id="1" xr3:uid="{00000000-0010-0000-0000-000001000000}" name="Depend"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C4"/>
  <sheetViews>
    <sheetView showGridLines="0" showRowColHeaders="0" workbookViewId="0">
      <selection activeCell="G33" sqref="G33"/>
    </sheetView>
  </sheetViews>
  <sheetFormatPr defaultRowHeight="12.75" x14ac:dyDescent="0.2"/>
  <cols>
    <col min="1" max="3" width="11.42578125" customWidth="1"/>
    <col min="4" max="4" width="9.140625" customWidth="1"/>
    <col min="5" max="256" width="11.42578125" customWidth="1"/>
  </cols>
  <sheetData>
    <row r="3" spans="3:3" ht="59.25" x14ac:dyDescent="0.8">
      <c r="C3" s="353" t="s">
        <v>0</v>
      </c>
    </row>
    <row r="4" spans="3:3" x14ac:dyDescent="0.2">
      <c r="C4" s="35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32"/>
  <sheetViews>
    <sheetView showGridLines="0" showRowColHeaders="0" workbookViewId="0">
      <selection activeCell="A30" sqref="A30"/>
    </sheetView>
  </sheetViews>
  <sheetFormatPr defaultColWidth="9.140625" defaultRowHeight="12.75" x14ac:dyDescent="0.2"/>
  <cols>
    <col min="1" max="1" width="122.85546875" style="58" bestFit="1" customWidth="1"/>
    <col min="2" max="256" width="11.42578125" style="58" customWidth="1"/>
    <col min="257" max="16384" width="9.140625" style="58"/>
  </cols>
  <sheetData>
    <row r="1" spans="1:1" s="65" customFormat="1" ht="18.75" x14ac:dyDescent="0.3">
      <c r="A1" s="64" t="s">
        <v>1</v>
      </c>
    </row>
    <row r="2" spans="1:1" s="65" customFormat="1" ht="18.75" x14ac:dyDescent="0.3">
      <c r="A2" s="64"/>
    </row>
    <row r="3" spans="1:1" ht="15.75" x14ac:dyDescent="0.25">
      <c r="A3" s="66" t="s">
        <v>2</v>
      </c>
    </row>
    <row r="4" spans="1:1" x14ac:dyDescent="0.2">
      <c r="A4" s="67" t="s">
        <v>3</v>
      </c>
    </row>
    <row r="5" spans="1:1" x14ac:dyDescent="0.2">
      <c r="A5" s="67" t="s">
        <v>4</v>
      </c>
    </row>
    <row r="6" spans="1:1" x14ac:dyDescent="0.2">
      <c r="A6" s="67" t="s">
        <v>5</v>
      </c>
    </row>
    <row r="8" spans="1:1" ht="15.75" x14ac:dyDescent="0.25">
      <c r="A8" s="68" t="s">
        <v>6</v>
      </c>
    </row>
    <row r="9" spans="1:1" x14ac:dyDescent="0.2">
      <c r="A9" s="67" t="s">
        <v>7</v>
      </c>
    </row>
    <row r="10" spans="1:1" x14ac:dyDescent="0.2">
      <c r="A10" s="67" t="s">
        <v>8</v>
      </c>
    </row>
    <row r="11" spans="1:1" x14ac:dyDescent="0.2">
      <c r="A11" s="67" t="s">
        <v>9</v>
      </c>
    </row>
    <row r="12" spans="1:1" x14ac:dyDescent="0.2">
      <c r="A12" s="67"/>
    </row>
    <row r="13" spans="1:1" s="69" customFormat="1" ht="15.75" x14ac:dyDescent="0.25">
      <c r="A13" s="66" t="s">
        <v>10</v>
      </c>
    </row>
    <row r="14" spans="1:1" s="69" customFormat="1" ht="15.75" x14ac:dyDescent="0.25">
      <c r="A14" s="70"/>
    </row>
    <row r="15" spans="1:1" x14ac:dyDescent="0.2">
      <c r="A15" s="103" t="s">
        <v>11</v>
      </c>
    </row>
    <row r="16" spans="1:1" x14ac:dyDescent="0.2">
      <c r="A16" s="67" t="s">
        <v>12</v>
      </c>
    </row>
    <row r="17" spans="1:1" x14ac:dyDescent="0.2">
      <c r="A17" s="67" t="s">
        <v>13</v>
      </c>
    </row>
    <row r="18" spans="1:1" x14ac:dyDescent="0.2">
      <c r="A18" s="67" t="s">
        <v>14</v>
      </c>
    </row>
    <row r="19" spans="1:1" x14ac:dyDescent="0.2">
      <c r="A19" s="67" t="s">
        <v>15</v>
      </c>
    </row>
    <row r="20" spans="1:1" x14ac:dyDescent="0.2">
      <c r="A20" s="67" t="s">
        <v>16</v>
      </c>
    </row>
    <row r="21" spans="1:1" x14ac:dyDescent="0.2">
      <c r="A21" s="67" t="s">
        <v>17</v>
      </c>
    </row>
    <row r="22" spans="1:1" x14ac:dyDescent="0.2">
      <c r="A22" s="67" t="s">
        <v>18</v>
      </c>
    </row>
    <row r="24" spans="1:1" s="69" customFormat="1" ht="15.75" x14ac:dyDescent="0.25">
      <c r="A24" s="66" t="s">
        <v>19</v>
      </c>
    </row>
    <row r="25" spans="1:1" x14ac:dyDescent="0.2">
      <c r="A25" s="67" t="s">
        <v>20</v>
      </c>
    </row>
    <row r="26" spans="1:1" x14ac:dyDescent="0.2">
      <c r="A26" s="67" t="s">
        <v>21</v>
      </c>
    </row>
    <row r="27" spans="1:1" x14ac:dyDescent="0.2">
      <c r="A27" s="71"/>
    </row>
    <row r="28" spans="1:1" x14ac:dyDescent="0.2">
      <c r="A28" s="72" t="s">
        <v>22</v>
      </c>
    </row>
    <row r="29" spans="1:1" s="69" customFormat="1" ht="15.75" x14ac:dyDescent="0.25">
      <c r="A29" s="73"/>
    </row>
    <row r="30" spans="1:1" s="71" customFormat="1" x14ac:dyDescent="0.2">
      <c r="A30" s="74"/>
    </row>
    <row r="31" spans="1:1" ht="15.75" x14ac:dyDescent="0.25">
      <c r="A31" s="75"/>
    </row>
    <row r="32" spans="1:1" s="71" customFormat="1" x14ac:dyDescent="0.2"/>
  </sheetData>
  <sheetProtection selectLockedCells="1" selectUnlockedCells="1"/>
  <phoneticPr fontId="2" type="noConversion"/>
  <pageMargins left="0.74803149606299213" right="0.74803149606299213" top="0.98425196850393704" bottom="0.98425196850393704"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30"/>
  <sheetViews>
    <sheetView showGridLines="0" showRowColHeaders="0" workbookViewId="0">
      <selection activeCell="B36" sqref="B36"/>
    </sheetView>
  </sheetViews>
  <sheetFormatPr defaultColWidth="9.140625" defaultRowHeight="12.75" x14ac:dyDescent="0.2"/>
  <cols>
    <col min="1" max="1" width="24.140625" style="59" customWidth="1"/>
    <col min="2" max="2" width="100.140625" style="57" customWidth="1"/>
    <col min="3" max="256" width="11.42578125" style="58" customWidth="1"/>
    <col min="257" max="16384" width="9.140625" style="58"/>
  </cols>
  <sheetData>
    <row r="1" spans="1:2" s="56" customFormat="1" ht="18.75" x14ac:dyDescent="0.3">
      <c r="A1" s="54" t="s">
        <v>23</v>
      </c>
      <c r="B1" s="55"/>
    </row>
    <row r="2" spans="1:2" ht="18.75" x14ac:dyDescent="0.2">
      <c r="A2" s="100"/>
    </row>
    <row r="3" spans="1:2" ht="48" x14ac:dyDescent="0.2">
      <c r="A3" s="101" t="s">
        <v>24</v>
      </c>
      <c r="B3" s="98" t="s">
        <v>25</v>
      </c>
    </row>
    <row r="4" spans="1:2" x14ac:dyDescent="0.2">
      <c r="A4" s="101"/>
      <c r="B4" s="98"/>
    </row>
    <row r="5" spans="1:2" ht="36" x14ac:dyDescent="0.2">
      <c r="A5" s="102" t="s">
        <v>26</v>
      </c>
      <c r="B5" s="98" t="s">
        <v>27</v>
      </c>
    </row>
    <row r="6" spans="1:2" x14ac:dyDescent="0.2">
      <c r="A6" s="101"/>
      <c r="B6" s="98"/>
    </row>
    <row r="7" spans="1:2" x14ac:dyDescent="0.2">
      <c r="A7" s="101"/>
      <c r="B7" s="98"/>
    </row>
    <row r="8" spans="1:2" x14ac:dyDescent="0.2">
      <c r="A8" s="102" t="s">
        <v>28</v>
      </c>
      <c r="B8" s="98" t="s">
        <v>29</v>
      </c>
    </row>
    <row r="9" spans="1:2" x14ac:dyDescent="0.2">
      <c r="A9" s="101"/>
      <c r="B9" s="98"/>
    </row>
    <row r="10" spans="1:2" x14ac:dyDescent="0.2">
      <c r="A10" s="102" t="s">
        <v>30</v>
      </c>
      <c r="B10" s="98" t="s">
        <v>31</v>
      </c>
    </row>
    <row r="11" spans="1:2" x14ac:dyDescent="0.2">
      <c r="A11" s="101"/>
      <c r="B11" s="98"/>
    </row>
    <row r="12" spans="1:2" x14ac:dyDescent="0.2">
      <c r="A12" s="101"/>
      <c r="B12" s="98"/>
    </row>
    <row r="13" spans="1:2" x14ac:dyDescent="0.2">
      <c r="A13" s="101" t="s">
        <v>32</v>
      </c>
      <c r="B13" s="98" t="s">
        <v>33</v>
      </c>
    </row>
    <row r="14" spans="1:2" x14ac:dyDescent="0.2">
      <c r="A14" s="101"/>
      <c r="B14" s="98"/>
    </row>
    <row r="15" spans="1:2" x14ac:dyDescent="0.2">
      <c r="A15" s="101" t="s">
        <v>34</v>
      </c>
      <c r="B15" s="98" t="s">
        <v>35</v>
      </c>
    </row>
    <row r="16" spans="1:2" x14ac:dyDescent="0.2">
      <c r="A16" s="101"/>
      <c r="B16" s="98"/>
    </row>
    <row r="17" spans="1:2" x14ac:dyDescent="0.2">
      <c r="A17" s="101" t="s">
        <v>36</v>
      </c>
      <c r="B17" s="98" t="s">
        <v>37</v>
      </c>
    </row>
    <row r="18" spans="1:2" x14ac:dyDescent="0.2">
      <c r="A18" s="101"/>
      <c r="B18" s="98"/>
    </row>
    <row r="19" spans="1:2" ht="48" x14ac:dyDescent="0.2">
      <c r="A19" s="101" t="s">
        <v>38</v>
      </c>
      <c r="B19" s="98" t="s">
        <v>39</v>
      </c>
    </row>
    <row r="20" spans="1:2" x14ac:dyDescent="0.2">
      <c r="A20" s="101"/>
      <c r="B20" s="98"/>
    </row>
    <row r="21" spans="1:2" x14ac:dyDescent="0.2">
      <c r="A21" s="101" t="s">
        <v>40</v>
      </c>
      <c r="B21" s="98" t="s">
        <v>41</v>
      </c>
    </row>
    <row r="22" spans="1:2" x14ac:dyDescent="0.2">
      <c r="A22" s="101"/>
      <c r="B22" s="98"/>
    </row>
    <row r="23" spans="1:2" x14ac:dyDescent="0.2">
      <c r="A23" s="101"/>
      <c r="B23" s="98"/>
    </row>
    <row r="24" spans="1:2" x14ac:dyDescent="0.2">
      <c r="A24" s="101"/>
      <c r="B24" s="98"/>
    </row>
    <row r="25" spans="1:2" x14ac:dyDescent="0.2">
      <c r="A25" s="101" t="s">
        <v>42</v>
      </c>
      <c r="B25" s="98" t="s">
        <v>43</v>
      </c>
    </row>
    <row r="26" spans="1:2" x14ac:dyDescent="0.2">
      <c r="A26" s="101"/>
      <c r="B26" s="98" t="s">
        <v>44</v>
      </c>
    </row>
    <row r="27" spans="1:2" x14ac:dyDescent="0.2">
      <c r="A27" s="101"/>
      <c r="B27" s="98" t="s">
        <v>45</v>
      </c>
    </row>
    <row r="28" spans="1:2" x14ac:dyDescent="0.2">
      <c r="A28" s="101"/>
      <c r="B28" s="98"/>
    </row>
    <row r="29" spans="1:2" x14ac:dyDescent="0.2">
      <c r="A29" s="101" t="s">
        <v>46</v>
      </c>
      <c r="B29" s="99" t="s">
        <v>47</v>
      </c>
    </row>
    <row r="30" spans="1:2" x14ac:dyDescent="0.2">
      <c r="A30" s="97"/>
      <c r="B30" s="58"/>
    </row>
  </sheetData>
  <sheetProtection selectLockedCells="1"/>
  <phoneticPr fontId="2" type="noConversion"/>
  <pageMargins left="0.75" right="0.75" top="1" bottom="1" header="0.5" footer="0.5"/>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pageSetUpPr fitToPage="1"/>
  </sheetPr>
  <dimension ref="A1:BF126"/>
  <sheetViews>
    <sheetView showGridLines="0" tabSelected="1" topLeftCell="A36" zoomScale="60" zoomScaleNormal="60" workbookViewId="0">
      <selection activeCell="C38" sqref="C38"/>
    </sheetView>
  </sheetViews>
  <sheetFormatPr defaultColWidth="9.140625" defaultRowHeight="23.25" x14ac:dyDescent="0.35"/>
  <cols>
    <col min="1" max="1" width="46.42578125" style="351" customWidth="1"/>
    <col min="2" max="2" width="20" style="351" customWidth="1"/>
    <col min="3" max="3" width="149" style="133" customWidth="1"/>
    <col min="4" max="4" width="55.28515625" style="350" customWidth="1"/>
    <col min="5" max="5" width="39.85546875" style="350" customWidth="1"/>
    <col min="6" max="6" width="8.42578125" style="128" customWidth="1"/>
    <col min="7" max="7" width="45.28515625" style="129" hidden="1" customWidth="1"/>
    <col min="8" max="8" width="62.28515625" style="129" hidden="1" customWidth="1"/>
    <col min="9" max="9" width="18.42578125" style="129" hidden="1" customWidth="1"/>
    <col min="10" max="10" width="20.85546875" style="129" hidden="1" customWidth="1"/>
    <col min="11" max="11" width="41.42578125" style="129" hidden="1" customWidth="1"/>
    <col min="12" max="12" width="20.42578125" style="129" hidden="1" customWidth="1"/>
    <col min="13" max="13" width="20.140625" style="129" hidden="1" customWidth="1"/>
    <col min="14" max="14" width="16.140625" style="129" hidden="1" customWidth="1"/>
    <col min="15" max="15" width="10.85546875" style="129" hidden="1" customWidth="1"/>
    <col min="16" max="16" width="7.42578125" style="129" hidden="1" customWidth="1"/>
    <col min="17" max="17" width="7.7109375" style="130" customWidth="1"/>
    <col min="18" max="18" width="5.42578125" style="131" customWidth="1"/>
    <col min="19" max="19" width="7.42578125" style="131" customWidth="1"/>
    <col min="20" max="24" width="11.42578125" style="131" customWidth="1"/>
    <col min="25" max="58" width="11.42578125" style="132" customWidth="1"/>
    <col min="59" max="256" width="11.42578125" style="133" customWidth="1"/>
    <col min="257" max="16384" width="9.140625" style="133"/>
  </cols>
  <sheetData>
    <row r="1" spans="1:58" s="113" customFormat="1" x14ac:dyDescent="0.35">
      <c r="A1" s="104"/>
      <c r="B1" s="104"/>
      <c r="C1" s="105"/>
      <c r="D1" s="106"/>
      <c r="E1" s="107"/>
      <c r="F1" s="108"/>
      <c r="G1" s="109"/>
      <c r="H1" s="109"/>
      <c r="I1" s="109"/>
      <c r="J1" s="109"/>
      <c r="K1" s="109"/>
      <c r="L1" s="110"/>
      <c r="M1" s="110"/>
      <c r="N1" s="110"/>
      <c r="O1" s="110"/>
      <c r="P1" s="110"/>
      <c r="Q1" s="111"/>
      <c r="R1" s="112"/>
      <c r="S1" s="112"/>
      <c r="T1" s="112"/>
      <c r="U1" s="112"/>
      <c r="V1" s="112"/>
      <c r="W1" s="112"/>
      <c r="X1" s="112"/>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row>
    <row r="2" spans="1:58" s="113" customFormat="1" ht="59.25" x14ac:dyDescent="0.8">
      <c r="A2" s="353" t="s">
        <v>0</v>
      </c>
      <c r="B2" s="104"/>
      <c r="C2" s="352" t="s">
        <v>48</v>
      </c>
      <c r="D2" s="106"/>
      <c r="E2" s="107"/>
      <c r="F2" s="108"/>
      <c r="G2" s="110"/>
      <c r="H2" s="109"/>
      <c r="I2" s="109"/>
      <c r="J2" s="110"/>
      <c r="K2" s="110"/>
      <c r="L2" s="110"/>
      <c r="M2" s="110"/>
      <c r="N2" s="110"/>
      <c r="O2" s="110"/>
      <c r="P2" s="110"/>
      <c r="Q2" s="111"/>
      <c r="R2" s="112"/>
      <c r="S2" s="112"/>
      <c r="T2" s="112"/>
      <c r="U2" s="112"/>
      <c r="V2" s="112"/>
      <c r="W2" s="112"/>
      <c r="X2" s="112"/>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row>
    <row r="3" spans="1:58" s="113" customFormat="1" ht="26.25" x14ac:dyDescent="0.4">
      <c r="A3" s="104"/>
      <c r="B3" s="104"/>
      <c r="C3" s="352" t="s">
        <v>49</v>
      </c>
      <c r="D3" s="106"/>
      <c r="E3" s="107"/>
      <c r="F3" s="108"/>
      <c r="G3" s="110"/>
      <c r="H3" s="109"/>
      <c r="I3" s="109"/>
      <c r="J3" s="110"/>
      <c r="K3" s="110"/>
      <c r="L3" s="110"/>
      <c r="M3" s="110"/>
      <c r="N3" s="110"/>
      <c r="O3" s="110"/>
      <c r="P3" s="110"/>
      <c r="Q3" s="111"/>
      <c r="R3" s="112"/>
      <c r="S3" s="112"/>
      <c r="T3" s="112"/>
      <c r="U3" s="112"/>
      <c r="V3" s="112"/>
      <c r="W3" s="112"/>
      <c r="X3" s="112"/>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row>
    <row r="4" spans="1:58" s="113" customFormat="1" ht="26.25" x14ac:dyDescent="0.4">
      <c r="A4" s="104"/>
      <c r="B4" s="104"/>
      <c r="C4" s="352" t="str">
        <f>"for Academic Year "&amp; 'School DATA'!D6</f>
        <v>for Academic Year 2025/26</v>
      </c>
      <c r="D4" s="105"/>
      <c r="E4" s="105"/>
      <c r="F4" s="108"/>
      <c r="G4" s="110"/>
      <c r="H4" s="109"/>
      <c r="I4" s="109"/>
      <c r="J4" s="110"/>
      <c r="K4" s="110"/>
      <c r="L4" s="110"/>
      <c r="M4" s="110"/>
      <c r="N4" s="110"/>
      <c r="O4" s="110"/>
      <c r="P4" s="110"/>
      <c r="Q4" s="111"/>
      <c r="R4" s="112"/>
      <c r="S4" s="112"/>
      <c r="T4" s="112"/>
      <c r="U4" s="112"/>
      <c r="V4" s="112"/>
      <c r="W4" s="112"/>
      <c r="X4" s="112"/>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row>
    <row r="5" spans="1:58" s="113" customFormat="1" x14ac:dyDescent="0.35">
      <c r="A5" s="104"/>
      <c r="B5" s="104"/>
      <c r="C5" s="114" t="s">
        <v>50</v>
      </c>
      <c r="D5" s="115"/>
      <c r="E5" s="115"/>
      <c r="F5" s="116"/>
      <c r="G5" s="110"/>
      <c r="H5" s="117">
        <f>'School DATA'!H48</f>
        <v>123486</v>
      </c>
      <c r="I5" s="110" t="s">
        <v>51</v>
      </c>
      <c r="J5" s="109"/>
      <c r="K5" s="109"/>
      <c r="L5" s="110"/>
      <c r="M5" s="110"/>
      <c r="N5" s="110"/>
      <c r="O5" s="110"/>
      <c r="P5" s="110"/>
      <c r="Q5" s="111"/>
      <c r="R5" s="112"/>
      <c r="S5" s="112"/>
      <c r="T5" s="112"/>
      <c r="U5" s="112"/>
      <c r="V5" s="112"/>
      <c r="W5" s="112"/>
      <c r="X5" s="112"/>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row>
    <row r="6" spans="1:58" s="113" customFormat="1" x14ac:dyDescent="0.35">
      <c r="A6" s="104"/>
      <c r="B6" s="104"/>
      <c r="C6" s="118" t="s">
        <v>52</v>
      </c>
      <c r="D6" s="115"/>
      <c r="E6" s="119">
        <f>'School DATA'!D8</f>
        <v>45853</v>
      </c>
      <c r="F6" s="116"/>
      <c r="G6" s="110"/>
      <c r="H6" s="117">
        <f>'School DATA'!H50</f>
        <v>128706.98808</v>
      </c>
      <c r="I6" s="110" t="s">
        <v>53</v>
      </c>
      <c r="J6" s="109"/>
      <c r="K6" s="109"/>
      <c r="L6" s="110"/>
      <c r="M6" s="110"/>
      <c r="N6" s="110"/>
      <c r="O6" s="110"/>
      <c r="P6" s="110"/>
      <c r="Q6" s="111"/>
      <c r="R6" s="112"/>
      <c r="S6" s="112"/>
      <c r="T6" s="112"/>
      <c r="U6" s="112"/>
      <c r="V6" s="112"/>
      <c r="W6" s="112"/>
      <c r="X6" s="112"/>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row>
    <row r="7" spans="1:58" s="113" customFormat="1" x14ac:dyDescent="0.35">
      <c r="A7" s="104"/>
      <c r="B7" s="104"/>
      <c r="C7" s="114" t="s">
        <v>54</v>
      </c>
      <c r="D7" s="115">
        <f>'School DATA'!H44</f>
        <v>1.4021999999999999</v>
      </c>
      <c r="E7" s="120">
        <f>'School DATA'!I29</f>
        <v>45853</v>
      </c>
      <c r="F7" s="108"/>
      <c r="G7" s="110"/>
      <c r="H7" s="110"/>
      <c r="I7" s="109"/>
      <c r="J7" s="110"/>
      <c r="K7" s="110"/>
      <c r="L7" s="110"/>
      <c r="M7" s="110"/>
      <c r="N7" s="110"/>
      <c r="O7" s="110"/>
      <c r="P7" s="110"/>
      <c r="Q7" s="111"/>
      <c r="R7" s="112"/>
      <c r="S7" s="112"/>
      <c r="T7" s="112"/>
      <c r="U7" s="112"/>
      <c r="V7" s="112"/>
      <c r="W7" s="112"/>
      <c r="X7" s="112"/>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row>
    <row r="8" spans="1:58" s="113" customFormat="1" x14ac:dyDescent="0.35">
      <c r="A8" s="104"/>
      <c r="B8" s="104"/>
      <c r="C8" s="114" t="s">
        <v>55</v>
      </c>
      <c r="D8" s="121"/>
      <c r="E8" s="122">
        <f>'School DATA'!I30</f>
        <v>45992</v>
      </c>
      <c r="F8" s="108"/>
      <c r="G8" s="110" t="s">
        <v>56</v>
      </c>
      <c r="H8" s="123" t="s">
        <v>57</v>
      </c>
      <c r="I8" s="123" t="s">
        <v>58</v>
      </c>
      <c r="J8" s="110"/>
      <c r="K8" s="110"/>
      <c r="L8" s="110"/>
      <c r="M8" s="110"/>
      <c r="N8" s="110"/>
      <c r="O8" s="110"/>
      <c r="P8" s="110"/>
      <c r="Q8" s="111"/>
      <c r="R8" s="112"/>
      <c r="S8" s="112"/>
      <c r="T8" s="112"/>
      <c r="U8" s="112"/>
      <c r="V8" s="112"/>
      <c r="W8" s="112"/>
      <c r="X8" s="112"/>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row>
    <row r="9" spans="1:58" s="113" customFormat="1" x14ac:dyDescent="0.35">
      <c r="A9" s="104"/>
      <c r="B9" s="104"/>
      <c r="C9" s="114" t="s">
        <v>59</v>
      </c>
      <c r="D9" s="124">
        <f>'School DATA'!E11</f>
        <v>43</v>
      </c>
      <c r="E9" s="125"/>
      <c r="F9" s="108"/>
      <c r="G9" s="110" t="s">
        <v>60</v>
      </c>
      <c r="H9" s="126" t="s">
        <v>61</v>
      </c>
      <c r="I9" s="126">
        <v>1</v>
      </c>
      <c r="J9" s="110"/>
      <c r="K9" s="110"/>
      <c r="L9" s="110"/>
      <c r="M9" s="110"/>
      <c r="N9" s="110"/>
      <c r="O9" s="110"/>
      <c r="P9" s="110"/>
      <c r="Q9" s="111"/>
      <c r="R9" s="112"/>
      <c r="S9" s="112"/>
      <c r="T9" s="112"/>
      <c r="U9" s="112"/>
      <c r="V9" s="112"/>
      <c r="W9" s="112"/>
      <c r="X9" s="112"/>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row>
    <row r="10" spans="1:58" x14ac:dyDescent="0.35">
      <c r="A10" s="127"/>
      <c r="B10" s="127"/>
      <c r="C10" s="114" t="s">
        <v>62</v>
      </c>
      <c r="D10" s="124">
        <f>'School DATA'!E13</f>
        <v>52</v>
      </c>
      <c r="E10" s="125"/>
      <c r="G10" s="129" t="s">
        <v>63</v>
      </c>
      <c r="H10" s="126" t="s">
        <v>64</v>
      </c>
      <c r="I10" s="126">
        <v>2</v>
      </c>
    </row>
    <row r="11" spans="1:58" ht="24" thickBot="1" x14ac:dyDescent="0.4">
      <c r="A11" s="127"/>
      <c r="B11" s="127"/>
      <c r="C11" s="134"/>
      <c r="D11" s="135"/>
      <c r="E11" s="136"/>
      <c r="H11" s="126"/>
      <c r="I11" s="126" t="s">
        <v>65</v>
      </c>
      <c r="M11" s="110" t="s">
        <v>66</v>
      </c>
      <c r="N11" s="110"/>
    </row>
    <row r="12" spans="1:58" ht="24" thickBot="1" x14ac:dyDescent="0.4">
      <c r="A12" s="137" t="s">
        <v>67</v>
      </c>
      <c r="B12" s="138"/>
      <c r="C12" s="357" t="s">
        <v>68</v>
      </c>
      <c r="D12" s="357"/>
      <c r="E12" s="139"/>
      <c r="G12" s="129" t="s">
        <v>69</v>
      </c>
      <c r="H12" s="110" t="s">
        <v>70</v>
      </c>
      <c r="I12" s="110" t="s">
        <v>71</v>
      </c>
      <c r="L12" s="110" t="s">
        <v>72</v>
      </c>
      <c r="M12" s="110" t="s">
        <v>73</v>
      </c>
      <c r="N12" s="110" t="s">
        <v>74</v>
      </c>
    </row>
    <row r="13" spans="1:58" x14ac:dyDescent="0.35">
      <c r="A13" s="140"/>
      <c r="B13" s="141"/>
      <c r="C13" s="142"/>
      <c r="D13" s="143"/>
      <c r="E13" s="144"/>
      <c r="G13" s="129" t="s">
        <v>75</v>
      </c>
      <c r="H13" s="126" t="s">
        <v>76</v>
      </c>
      <c r="I13" s="126" t="s">
        <v>77</v>
      </c>
      <c r="J13" s="145">
        <f>'School DATA'!D7</f>
        <v>45922</v>
      </c>
      <c r="L13" s="146">
        <f>COUNT(M13:M19)</f>
        <v>3</v>
      </c>
      <c r="M13" s="147">
        <f>IF(('School DATA'!D18&gt;10/10/2010),'School DATA'!D18,"")</f>
        <v>45929</v>
      </c>
      <c r="N13" s="148">
        <f>IF((ISNUMBER(M13)),(E91/L13),"")</f>
        <v>0</v>
      </c>
    </row>
    <row r="14" spans="1:58" x14ac:dyDescent="0.35">
      <c r="A14" s="140" t="s">
        <v>78</v>
      </c>
      <c r="B14" s="141"/>
      <c r="C14" s="372"/>
      <c r="D14" s="372"/>
      <c r="E14" s="373"/>
      <c r="H14" s="126"/>
      <c r="I14" s="126" t="s">
        <v>79</v>
      </c>
      <c r="J14" s="145">
        <f>'School DATA'!D11</f>
        <v>46211</v>
      </c>
      <c r="L14" s="126" t="s">
        <v>80</v>
      </c>
      <c r="M14" s="147">
        <f>IF(('School DATA'!D19&gt;10/10/2010),'School DATA'!D19,"")</f>
        <v>46055</v>
      </c>
      <c r="N14" s="148">
        <f>IF((ISNUMBER(M14)),(E91/L13),"")</f>
        <v>0</v>
      </c>
    </row>
    <row r="15" spans="1:58" x14ac:dyDescent="0.35">
      <c r="A15" s="150" t="s">
        <v>81</v>
      </c>
      <c r="B15" s="150"/>
      <c r="C15" s="372"/>
      <c r="D15" s="372"/>
      <c r="E15" s="373"/>
      <c r="H15" s="126" t="s">
        <v>82</v>
      </c>
      <c r="I15" s="126" t="s">
        <v>77</v>
      </c>
      <c r="J15" s="145">
        <f>'School DATA'!D7</f>
        <v>45922</v>
      </c>
      <c r="L15" s="126" t="s">
        <v>83</v>
      </c>
      <c r="M15" s="147">
        <f>IF(('School DATA'!D20&gt;10/10/2010),'School DATA'!D20,"")</f>
        <v>46146</v>
      </c>
      <c r="N15" s="148">
        <f>IF((ISNUMBER(M15)),(E91/L13),"")</f>
        <v>0</v>
      </c>
    </row>
    <row r="16" spans="1:58" x14ac:dyDescent="0.35">
      <c r="A16" s="140" t="s">
        <v>84</v>
      </c>
      <c r="B16" s="141"/>
      <c r="C16" s="355"/>
      <c r="D16" s="355"/>
      <c r="E16" s="356"/>
      <c r="H16" s="126"/>
      <c r="I16" s="126" t="s">
        <v>79</v>
      </c>
      <c r="J16" s="145">
        <f>'School DATA'!E7</f>
        <v>46285</v>
      </c>
      <c r="L16" s="126" t="s">
        <v>85</v>
      </c>
      <c r="M16" s="147" t="str">
        <f>IF(('School DATA'!D21&gt;10/10/2010),'School DATA'!D21,"")</f>
        <v/>
      </c>
      <c r="N16" s="148" t="str">
        <f>IF((ISNUMBER(M16)),(E91/L13),"")</f>
        <v/>
      </c>
      <c r="O16" s="148"/>
    </row>
    <row r="17" spans="1:14" x14ac:dyDescent="0.35">
      <c r="A17" s="140" t="s">
        <v>86</v>
      </c>
      <c r="B17" s="141"/>
      <c r="C17" s="355"/>
      <c r="D17" s="355"/>
      <c r="E17" s="356"/>
    </row>
    <row r="18" spans="1:14" x14ac:dyDescent="0.35">
      <c r="A18" s="140" t="s">
        <v>87</v>
      </c>
      <c r="B18" s="141"/>
      <c r="C18" s="355"/>
      <c r="D18" s="355"/>
      <c r="E18" s="356"/>
    </row>
    <row r="19" spans="1:14" x14ac:dyDescent="0.35">
      <c r="A19" s="140" t="s">
        <v>88</v>
      </c>
      <c r="B19" s="141"/>
      <c r="C19" s="355"/>
      <c r="D19" s="355"/>
      <c r="E19" s="356"/>
    </row>
    <row r="20" spans="1:14" x14ac:dyDescent="0.35">
      <c r="A20" s="151" t="s">
        <v>89</v>
      </c>
      <c r="B20" s="151"/>
      <c r="C20" s="355"/>
      <c r="D20" s="355"/>
      <c r="E20" s="356"/>
      <c r="K20" s="110"/>
    </row>
    <row r="21" spans="1:14" x14ac:dyDescent="0.35">
      <c r="A21" s="151" t="s">
        <v>90</v>
      </c>
      <c r="B21" s="151"/>
      <c r="C21" s="364"/>
      <c r="D21" s="365"/>
      <c r="E21" s="366"/>
      <c r="H21" s="110" t="s">
        <v>91</v>
      </c>
      <c r="K21" s="110" t="s">
        <v>92</v>
      </c>
    </row>
    <row r="22" spans="1:14" x14ac:dyDescent="0.35">
      <c r="A22" s="151" t="s">
        <v>93</v>
      </c>
      <c r="B22" s="151"/>
      <c r="C22" s="367"/>
      <c r="D22" s="368"/>
      <c r="E22" s="369"/>
      <c r="G22" s="152" t="s">
        <v>94</v>
      </c>
      <c r="H22" s="123" t="s">
        <v>95</v>
      </c>
      <c r="I22" s="123" t="s">
        <v>96</v>
      </c>
      <c r="K22" s="129" t="s">
        <v>94</v>
      </c>
      <c r="L22" s="123" t="s">
        <v>95</v>
      </c>
      <c r="M22" s="123" t="s">
        <v>96</v>
      </c>
      <c r="N22" s="123"/>
    </row>
    <row r="23" spans="1:14" x14ac:dyDescent="0.35">
      <c r="A23" s="150" t="s">
        <v>97</v>
      </c>
      <c r="B23" s="150"/>
      <c r="C23" s="355"/>
      <c r="D23" s="355"/>
      <c r="E23" s="356"/>
      <c r="G23" s="153">
        <f>IF(D27="Y",0,K23)</f>
        <v>0</v>
      </c>
      <c r="I23" s="154">
        <f>IF((D27="N"),M23,0)</f>
        <v>20500</v>
      </c>
      <c r="J23" s="129" t="s">
        <v>98</v>
      </c>
      <c r="K23" s="129">
        <v>0</v>
      </c>
      <c r="L23" s="129">
        <v>0</v>
      </c>
      <c r="M23" s="129">
        <v>20500</v>
      </c>
    </row>
    <row r="24" spans="1:14" x14ac:dyDescent="0.35">
      <c r="A24" s="140" t="s">
        <v>99</v>
      </c>
      <c r="B24" s="141"/>
      <c r="C24" s="370"/>
      <c r="D24" s="370"/>
      <c r="E24" s="371"/>
      <c r="G24" s="153">
        <f>IF((AND(D27="Y",D28="N",D30=1)),K24,0)</f>
        <v>0</v>
      </c>
      <c r="H24" s="129">
        <f>IF((AND(D27="Y",D31="D",D30=1)),L24,0)</f>
        <v>0</v>
      </c>
      <c r="I24" s="129">
        <f>IF((AND(D27="Y",D31="I",D30=1)),M24,0)</f>
        <v>0</v>
      </c>
      <c r="J24" s="129" t="s">
        <v>100</v>
      </c>
      <c r="K24" s="129">
        <v>3500</v>
      </c>
      <c r="L24" s="129">
        <v>2000</v>
      </c>
      <c r="M24" s="129">
        <v>6000</v>
      </c>
    </row>
    <row r="25" spans="1:14" ht="24" thickBot="1" x14ac:dyDescent="0.4">
      <c r="A25" s="140" t="s">
        <v>101</v>
      </c>
      <c r="B25" s="141"/>
      <c r="C25" s="370"/>
      <c r="D25" s="370"/>
      <c r="E25" s="371"/>
      <c r="G25" s="153">
        <f>IF((AND(D27="Y",D28="N",D30=2)),K25,0)</f>
        <v>0</v>
      </c>
      <c r="H25" s="129">
        <f>IF((AND(D27="Y",D31="D",D30=2)),L25,0)</f>
        <v>0</v>
      </c>
      <c r="I25" s="129">
        <f>IF((AND(D27="Y",D31="I",D30=2)),M25,0)</f>
        <v>0</v>
      </c>
      <c r="J25" s="129" t="s">
        <v>102</v>
      </c>
      <c r="K25" s="129">
        <v>4500</v>
      </c>
      <c r="L25" s="129">
        <v>2000</v>
      </c>
      <c r="M25" s="129">
        <v>6000</v>
      </c>
    </row>
    <row r="26" spans="1:14" ht="24" thickBot="1" x14ac:dyDescent="0.4">
      <c r="A26" s="155" t="s">
        <v>103</v>
      </c>
      <c r="B26" s="156"/>
      <c r="C26" s="157"/>
      <c r="D26" s="158"/>
      <c r="E26" s="159"/>
      <c r="G26" s="153">
        <f>IF((AND(D27="Y",D28="N",D30&gt;2)),K26,0)</f>
        <v>0</v>
      </c>
      <c r="H26" s="129">
        <f>IF((AND(D27="Y",D31="D",D30&gt;2)),L26,0)</f>
        <v>0</v>
      </c>
      <c r="I26" s="129">
        <f>IF((AND(D27="Y",D31="I",D30&gt;2)),M26,0)</f>
        <v>0</v>
      </c>
      <c r="J26" s="129" t="s">
        <v>104</v>
      </c>
      <c r="K26" s="129">
        <v>5500</v>
      </c>
      <c r="L26" s="129">
        <v>2000</v>
      </c>
      <c r="M26" s="129">
        <v>7000</v>
      </c>
    </row>
    <row r="27" spans="1:14" ht="46.5" x14ac:dyDescent="0.35">
      <c r="A27" s="160" t="s">
        <v>105</v>
      </c>
      <c r="B27" s="161"/>
      <c r="C27" s="162" t="s">
        <v>106</v>
      </c>
      <c r="D27" s="149" t="s">
        <v>61</v>
      </c>
      <c r="E27" s="163"/>
      <c r="G27" s="153">
        <f>IF((AND(D27="Y", D28="Y", D29="Y")),K27,0)</f>
        <v>0</v>
      </c>
      <c r="H27" s="129">
        <f>IF((AND(D28="Y",D32="D",D31&gt;2)),L27,0)</f>
        <v>0</v>
      </c>
      <c r="I27" s="154">
        <f>IF((AND(D27="Y", D28="Y", D29="Y")),M27,0)</f>
        <v>0</v>
      </c>
      <c r="J27" s="129" t="s">
        <v>107</v>
      </c>
      <c r="K27" s="129">
        <f>K23</f>
        <v>0</v>
      </c>
      <c r="L27" s="129">
        <f>L23</f>
        <v>0</v>
      </c>
      <c r="M27" s="129">
        <f>M23</f>
        <v>20500</v>
      </c>
    </row>
    <row r="28" spans="1:14" x14ac:dyDescent="0.35">
      <c r="A28" s="140"/>
      <c r="B28" s="141"/>
      <c r="C28" s="164" t="str">
        <f>IF(D27="N", "Do not adjust this line", "Are you taking a profesional course but at undergraduate level? Only answer Y or N")</f>
        <v>Do not adjust this line</v>
      </c>
      <c r="D28" s="149" t="s">
        <v>108</v>
      </c>
      <c r="E28" s="163"/>
      <c r="G28" s="153">
        <f>MAX(G23:G27)</f>
        <v>0</v>
      </c>
      <c r="H28" s="154"/>
      <c r="I28" s="154">
        <f>MAX(H23:I27)</f>
        <v>20500</v>
      </c>
      <c r="J28" s="110" t="s">
        <v>109</v>
      </c>
      <c r="K28" s="110"/>
      <c r="L28" s="110" t="s">
        <v>110</v>
      </c>
    </row>
    <row r="29" spans="1:14" x14ac:dyDescent="0.35">
      <c r="A29" s="140"/>
      <c r="B29" s="141"/>
      <c r="C29" s="165" t="str">
        <f>IF((AND( D27="Y", D28="Y")), "Do you already have another undergraduate degree - answer Y or N", "Do not adjust this line" )</f>
        <v>Do not adjust this line</v>
      </c>
      <c r="D29" s="149" t="s">
        <v>108</v>
      </c>
      <c r="E29" s="163"/>
      <c r="G29" s="166"/>
      <c r="K29" s="110"/>
    </row>
    <row r="30" spans="1:14" x14ac:dyDescent="0.35">
      <c r="A30" s="140"/>
      <c r="B30" s="141"/>
      <c r="C30" s="167" t="s">
        <v>111</v>
      </c>
      <c r="D30" s="168">
        <v>1</v>
      </c>
      <c r="E30" s="163"/>
      <c r="G30" s="166"/>
      <c r="H30" s="110" t="s">
        <v>112</v>
      </c>
      <c r="L30" s="169" t="s">
        <v>113</v>
      </c>
    </row>
    <row r="31" spans="1:14" x14ac:dyDescent="0.35">
      <c r="A31" s="140"/>
      <c r="B31" s="141"/>
      <c r="C31" s="142" t="s">
        <v>114</v>
      </c>
      <c r="D31" s="149" t="s">
        <v>60</v>
      </c>
      <c r="E31" s="163"/>
      <c r="F31" s="170"/>
      <c r="G31" s="166" t="s">
        <v>115</v>
      </c>
      <c r="H31" s="171" t="s">
        <v>116</v>
      </c>
      <c r="I31" s="171" t="s">
        <v>117</v>
      </c>
      <c r="J31" s="110" t="s">
        <v>118</v>
      </c>
      <c r="K31" s="110"/>
      <c r="L31" s="129" t="s">
        <v>107</v>
      </c>
    </row>
    <row r="32" spans="1:14" x14ac:dyDescent="0.35">
      <c r="A32" s="140"/>
      <c r="B32" s="141"/>
      <c r="C32" s="142" t="s">
        <v>119</v>
      </c>
      <c r="D32" s="172">
        <v>0</v>
      </c>
      <c r="E32" s="173"/>
      <c r="F32" s="170"/>
      <c r="G32" s="174">
        <f>D7</f>
        <v>1.4021999999999999</v>
      </c>
      <c r="H32" s="154">
        <f>D33*G32</f>
        <v>0</v>
      </c>
      <c r="I32" s="154">
        <f>E33</f>
        <v>0</v>
      </c>
      <c r="J32" s="110" t="s">
        <v>120</v>
      </c>
    </row>
    <row r="33" spans="1:11" x14ac:dyDescent="0.35">
      <c r="A33" s="140"/>
      <c r="B33" s="141"/>
      <c r="C33" s="142" t="s">
        <v>121</v>
      </c>
      <c r="D33" s="175">
        <v>0</v>
      </c>
      <c r="E33" s="173"/>
      <c r="F33" s="176"/>
      <c r="G33" s="166">
        <f>G32</f>
        <v>1.4021999999999999</v>
      </c>
      <c r="H33" s="154">
        <f>D34*G33</f>
        <v>0</v>
      </c>
      <c r="I33" s="154">
        <f>E34</f>
        <v>0</v>
      </c>
      <c r="J33" s="129" t="s">
        <v>122</v>
      </c>
    </row>
    <row r="34" spans="1:11" ht="46.5" x14ac:dyDescent="0.35">
      <c r="A34" s="140"/>
      <c r="B34" s="141"/>
      <c r="C34" s="177" t="s">
        <v>123</v>
      </c>
      <c r="D34" s="175">
        <v>0</v>
      </c>
      <c r="E34" s="178">
        <v>0</v>
      </c>
      <c r="F34" s="176"/>
      <c r="G34" s="166">
        <f>G33</f>
        <v>1.4021999999999999</v>
      </c>
      <c r="H34" s="154">
        <f>D35*G34</f>
        <v>0</v>
      </c>
      <c r="I34" s="154">
        <f>E35</f>
        <v>0</v>
      </c>
      <c r="J34" s="129" t="s">
        <v>124</v>
      </c>
    </row>
    <row r="35" spans="1:11" x14ac:dyDescent="0.35">
      <c r="A35" s="140"/>
      <c r="B35" s="141"/>
      <c r="C35" s="177" t="s">
        <v>125</v>
      </c>
      <c r="D35" s="175">
        <v>0</v>
      </c>
      <c r="E35" s="179"/>
      <c r="F35" s="176"/>
      <c r="G35" s="166">
        <f>G34</f>
        <v>1.4021999999999999</v>
      </c>
      <c r="H35" s="154">
        <f>D36*G35</f>
        <v>0</v>
      </c>
      <c r="I35" s="154">
        <f>E36</f>
        <v>0</v>
      </c>
      <c r="J35" s="129" t="s">
        <v>126</v>
      </c>
    </row>
    <row r="36" spans="1:11" x14ac:dyDescent="0.35">
      <c r="A36" s="140"/>
      <c r="B36" s="141"/>
      <c r="C36" s="142" t="s">
        <v>127</v>
      </c>
      <c r="D36" s="175">
        <v>0</v>
      </c>
      <c r="E36" s="179"/>
      <c r="F36" s="176"/>
      <c r="G36" s="166">
        <f>G34</f>
        <v>1.4021999999999999</v>
      </c>
      <c r="H36" s="154">
        <f>D37*G36</f>
        <v>0</v>
      </c>
      <c r="I36" s="154">
        <f>E37</f>
        <v>0</v>
      </c>
      <c r="J36" s="129" t="s">
        <v>128</v>
      </c>
    </row>
    <row r="37" spans="1:11" ht="24" thickBot="1" x14ac:dyDescent="0.4">
      <c r="A37" s="141"/>
      <c r="B37" s="141"/>
      <c r="C37" s="142" t="s">
        <v>129</v>
      </c>
      <c r="D37" s="180"/>
      <c r="E37" s="181">
        <v>0</v>
      </c>
      <c r="F37" s="170"/>
      <c r="G37" s="166"/>
      <c r="H37" s="154"/>
      <c r="I37" s="117">
        <f>SUM(H33:I36)</f>
        <v>0</v>
      </c>
      <c r="J37" s="110" t="s">
        <v>130</v>
      </c>
      <c r="K37" s="110"/>
    </row>
    <row r="38" spans="1:11" ht="24" thickBot="1" x14ac:dyDescent="0.4">
      <c r="A38" s="141"/>
      <c r="B38" s="141"/>
      <c r="C38" s="182" t="s">
        <v>131</v>
      </c>
      <c r="D38" s="183" t="s">
        <v>75</v>
      </c>
      <c r="E38" s="184"/>
      <c r="F38" s="170"/>
      <c r="G38" s="166"/>
      <c r="I38" s="154"/>
    </row>
    <row r="39" spans="1:11" ht="24" thickBot="1" x14ac:dyDescent="0.4">
      <c r="A39" s="185"/>
      <c r="B39" s="185"/>
      <c r="C39" s="186"/>
      <c r="D39" s="187"/>
      <c r="E39" s="188"/>
      <c r="F39" s="189"/>
      <c r="G39" s="166"/>
      <c r="H39" s="110" t="s">
        <v>132</v>
      </c>
    </row>
    <row r="40" spans="1:11" ht="24" thickBot="1" x14ac:dyDescent="0.4">
      <c r="A40" s="190" t="s">
        <v>133</v>
      </c>
      <c r="B40" s="191" t="s">
        <v>134</v>
      </c>
      <c r="C40" s="192"/>
      <c r="D40" s="193"/>
      <c r="E40" s="194"/>
      <c r="F40" s="170"/>
      <c r="G40" s="166" t="s">
        <v>135</v>
      </c>
      <c r="H40" s="154" t="s">
        <v>136</v>
      </c>
      <c r="I40" s="154" t="s">
        <v>137</v>
      </c>
      <c r="J40" s="129" t="s">
        <v>138</v>
      </c>
    </row>
    <row r="41" spans="1:11" x14ac:dyDescent="0.35">
      <c r="A41" s="195"/>
      <c r="B41" s="196"/>
      <c r="C41" s="197"/>
      <c r="D41" s="198" t="s">
        <v>139</v>
      </c>
      <c r="E41" s="199" t="s">
        <v>140</v>
      </c>
      <c r="F41" s="170"/>
      <c r="G41" s="166">
        <f>D9</f>
        <v>43</v>
      </c>
      <c r="H41" s="154">
        <f>E42*G32*G41</f>
        <v>0</v>
      </c>
      <c r="I41" s="154">
        <f>J41*G32*E42</f>
        <v>0</v>
      </c>
      <c r="J41" s="200">
        <f>D10</f>
        <v>52</v>
      </c>
      <c r="K41" s="200"/>
    </row>
    <row r="42" spans="1:11" x14ac:dyDescent="0.35">
      <c r="A42" s="195"/>
      <c r="B42" s="196"/>
      <c r="C42" s="197" t="s">
        <v>26</v>
      </c>
      <c r="D42" s="201">
        <f>'School DATA'!I11</f>
        <v>450</v>
      </c>
      <c r="E42" s="202">
        <v>0</v>
      </c>
      <c r="F42" s="170"/>
      <c r="G42" s="166">
        <f>D9</f>
        <v>43</v>
      </c>
      <c r="H42" s="154">
        <f>E43*G33*G42</f>
        <v>0</v>
      </c>
      <c r="I42" s="154">
        <f>J42*G33*E43</f>
        <v>0</v>
      </c>
      <c r="J42" s="200">
        <f>J41</f>
        <v>52</v>
      </c>
      <c r="K42" s="200"/>
    </row>
    <row r="43" spans="1:11" x14ac:dyDescent="0.35">
      <c r="A43" s="195"/>
      <c r="B43" s="196"/>
      <c r="C43" s="197" t="s">
        <v>141</v>
      </c>
      <c r="D43" s="201">
        <f>'School DATA'!H12+'School DATA'!H13</f>
        <v>150</v>
      </c>
      <c r="E43" s="202">
        <v>0</v>
      </c>
      <c r="F43" s="170"/>
      <c r="G43" s="166">
        <f>G42</f>
        <v>43</v>
      </c>
      <c r="H43" s="154">
        <f>E44*G32*G43</f>
        <v>0</v>
      </c>
      <c r="I43" s="154">
        <f>J43*G34*E44</f>
        <v>0</v>
      </c>
      <c r="J43" s="200">
        <f>J42</f>
        <v>52</v>
      </c>
      <c r="K43" s="200"/>
    </row>
    <row r="44" spans="1:11" x14ac:dyDescent="0.35">
      <c r="A44" s="195"/>
      <c r="B44" s="196"/>
      <c r="C44" s="197" t="s">
        <v>28</v>
      </c>
      <c r="D44" s="201">
        <f>'School DATA'!H14</f>
        <v>25</v>
      </c>
      <c r="E44" s="202">
        <v>0</v>
      </c>
      <c r="F44" s="170"/>
      <c r="G44" s="166">
        <f>G43</f>
        <v>43</v>
      </c>
      <c r="H44" s="154">
        <f>E45*G33*G44</f>
        <v>0</v>
      </c>
      <c r="I44" s="154">
        <f>J44*G35*E45</f>
        <v>0</v>
      </c>
      <c r="J44" s="200">
        <f>J43</f>
        <v>52</v>
      </c>
      <c r="K44" s="200"/>
    </row>
    <row r="45" spans="1:11" x14ac:dyDescent="0.35">
      <c r="A45" s="195"/>
      <c r="B45" s="196"/>
      <c r="C45" s="197" t="s">
        <v>142</v>
      </c>
      <c r="D45" s="201">
        <f>'School DATA'!H15</f>
        <v>55</v>
      </c>
      <c r="E45" s="202">
        <v>0</v>
      </c>
      <c r="F45" s="170"/>
      <c r="G45" s="166">
        <f>G44</f>
        <v>43</v>
      </c>
      <c r="H45" s="154">
        <f>E46*G34*G45</f>
        <v>0</v>
      </c>
      <c r="I45" s="154">
        <f>J45*G36*E46</f>
        <v>0</v>
      </c>
      <c r="J45" s="200">
        <f>J44</f>
        <v>52</v>
      </c>
      <c r="K45" s="200"/>
    </row>
    <row r="46" spans="1:11" ht="24" thickBot="1" x14ac:dyDescent="0.4">
      <c r="A46" s="195"/>
      <c r="B46" s="196"/>
      <c r="C46" s="197" t="s">
        <v>143</v>
      </c>
      <c r="D46" s="201">
        <f>'School DATA'!H16</f>
        <v>75</v>
      </c>
      <c r="E46" s="202">
        <v>0</v>
      </c>
      <c r="F46" s="170"/>
      <c r="G46" s="166"/>
      <c r="H46" s="154"/>
      <c r="I46" s="154"/>
    </row>
    <row r="47" spans="1:11" ht="24" thickBot="1" x14ac:dyDescent="0.4">
      <c r="A47" s="196"/>
      <c r="B47" s="196"/>
      <c r="C47" s="142"/>
      <c r="D47" s="203"/>
      <c r="E47" s="204"/>
      <c r="F47" s="170"/>
      <c r="H47" s="154"/>
      <c r="I47" s="154"/>
    </row>
    <row r="48" spans="1:11" ht="24" thickBot="1" x14ac:dyDescent="0.4">
      <c r="A48" s="205"/>
      <c r="B48" s="205"/>
      <c r="C48" s="206"/>
      <c r="D48" s="207"/>
      <c r="E48" s="188"/>
      <c r="F48" s="189"/>
      <c r="H48" s="110" t="s">
        <v>144</v>
      </c>
      <c r="I48" s="154"/>
      <c r="K48" s="110" t="s">
        <v>145</v>
      </c>
    </row>
    <row r="49" spans="1:58" x14ac:dyDescent="0.35">
      <c r="A49" s="208" t="s">
        <v>146</v>
      </c>
      <c r="B49" s="209" t="s">
        <v>147</v>
      </c>
      <c r="C49" s="210"/>
      <c r="D49" s="362" t="s">
        <v>148</v>
      </c>
      <c r="E49" s="360" t="str">
        <f>E41</f>
        <v>Your Request</v>
      </c>
      <c r="F49" s="189"/>
      <c r="H49" s="110"/>
      <c r="I49" s="154"/>
      <c r="K49" s="110"/>
    </row>
    <row r="50" spans="1:58" ht="24" thickBot="1" x14ac:dyDescent="0.4">
      <c r="A50" s="211"/>
      <c r="B50" s="212" t="s">
        <v>149</v>
      </c>
      <c r="C50" s="213"/>
      <c r="D50" s="363"/>
      <c r="E50" s="361"/>
      <c r="F50" s="214"/>
      <c r="G50" s="215">
        <f>D7</f>
        <v>1.4021999999999999</v>
      </c>
      <c r="H50" s="154">
        <f t="shared" ref="H50:H56" si="0">E51*G50</f>
        <v>0</v>
      </c>
      <c r="I50" s="154"/>
      <c r="L50" s="129" t="s">
        <v>150</v>
      </c>
      <c r="M50" s="129" t="s">
        <v>151</v>
      </c>
      <c r="N50" s="129" t="s">
        <v>152</v>
      </c>
      <c r="O50" s="129" t="s">
        <v>153</v>
      </c>
    </row>
    <row r="51" spans="1:58" x14ac:dyDescent="0.35">
      <c r="A51" s="216"/>
      <c r="B51" s="205"/>
      <c r="C51" s="197" t="s">
        <v>154</v>
      </c>
      <c r="D51" s="217">
        <f>'School DATA'!H19*2</f>
        <v>2700</v>
      </c>
      <c r="E51" s="202">
        <v>0</v>
      </c>
      <c r="G51" s="129">
        <f t="shared" ref="G51:G56" si="1">G50</f>
        <v>1.4021999999999999</v>
      </c>
      <c r="H51" s="154">
        <f t="shared" si="0"/>
        <v>0</v>
      </c>
      <c r="I51" s="154"/>
      <c r="K51" s="129" t="s">
        <v>155</v>
      </c>
      <c r="M51" s="129" t="s">
        <v>156</v>
      </c>
      <c r="N51" s="129" t="s">
        <v>115</v>
      </c>
      <c r="O51" s="129" t="s">
        <v>157</v>
      </c>
    </row>
    <row r="52" spans="1:58" x14ac:dyDescent="0.35">
      <c r="A52" s="216"/>
      <c r="B52" s="205"/>
      <c r="C52" s="197" t="s">
        <v>158</v>
      </c>
      <c r="D52" s="217">
        <f>'School DATA'!H20</f>
        <v>500</v>
      </c>
      <c r="E52" s="202">
        <v>0</v>
      </c>
      <c r="F52" s="170"/>
      <c r="G52" s="129">
        <f t="shared" si="1"/>
        <v>1.4021999999999999</v>
      </c>
      <c r="H52" s="154">
        <f t="shared" si="0"/>
        <v>0</v>
      </c>
      <c r="I52" s="154"/>
      <c r="K52" s="129" t="s">
        <v>159</v>
      </c>
      <c r="L52" s="218">
        <f>'School DATA'!D38</f>
        <v>1.0569999999999999</v>
      </c>
      <c r="M52" s="218">
        <f>'School DATA'!E38</f>
        <v>0</v>
      </c>
      <c r="N52" s="218">
        <f>L52-M52</f>
        <v>1.0569999999999999</v>
      </c>
      <c r="O52" s="219">
        <f>N52*0.01</f>
        <v>1.057E-2</v>
      </c>
    </row>
    <row r="53" spans="1:58" x14ac:dyDescent="0.35">
      <c r="A53" s="216"/>
      <c r="B53" s="205"/>
      <c r="C53" s="197" t="s">
        <v>160</v>
      </c>
      <c r="D53" s="217">
        <f>'School DATA'!H21</f>
        <v>1300</v>
      </c>
      <c r="E53" s="202">
        <v>0</v>
      </c>
      <c r="F53" s="170"/>
      <c r="G53" s="129">
        <f t="shared" si="1"/>
        <v>1.4021999999999999</v>
      </c>
      <c r="H53" s="154">
        <f t="shared" si="0"/>
        <v>0</v>
      </c>
      <c r="I53" s="154"/>
      <c r="K53" s="129" t="s">
        <v>161</v>
      </c>
      <c r="L53" s="218">
        <f>'School DATA'!D39</f>
        <v>1.0569999999999999</v>
      </c>
      <c r="M53" s="218">
        <f>'School DATA'!E39</f>
        <v>0</v>
      </c>
      <c r="N53" s="218">
        <f>L53-M53</f>
        <v>1.0569999999999999</v>
      </c>
      <c r="O53" s="219">
        <f>N53*0.01</f>
        <v>1.057E-2</v>
      </c>
    </row>
    <row r="54" spans="1:58" x14ac:dyDescent="0.35">
      <c r="A54" s="216"/>
      <c r="B54" s="205"/>
      <c r="C54" s="197" t="str">
        <f>'School DATA'!G22</f>
        <v>Visa £524 and NHS charge £776</v>
      </c>
      <c r="D54" s="217">
        <f>SUM('School DATA'!H22)</f>
        <v>1300</v>
      </c>
      <c r="E54" s="202">
        <v>0</v>
      </c>
      <c r="F54" s="170"/>
      <c r="G54" s="129">
        <f t="shared" si="1"/>
        <v>1.4021999999999999</v>
      </c>
      <c r="H54" s="154">
        <f t="shared" si="0"/>
        <v>0</v>
      </c>
      <c r="I54" s="154"/>
      <c r="K54" s="129" t="s">
        <v>162</v>
      </c>
      <c r="L54" s="218">
        <f>'School DATA'!D40</f>
        <v>4.2279999999999998</v>
      </c>
      <c r="M54" s="218">
        <f>'School DATA'!E40</f>
        <v>0</v>
      </c>
      <c r="N54" s="218">
        <f>L54-M54</f>
        <v>4.2279999999999998</v>
      </c>
      <c r="O54" s="219">
        <f>N54*0.01</f>
        <v>4.2279999999999998E-2</v>
      </c>
    </row>
    <row r="55" spans="1:58" x14ac:dyDescent="0.35">
      <c r="A55" s="216"/>
      <c r="B55" s="205"/>
      <c r="C55" s="197" t="str">
        <f>'School DATA'!G23</f>
        <v>Add any other essential costs - write here - only in £</v>
      </c>
      <c r="D55" s="217">
        <f>'School DATA'!H23</f>
        <v>0</v>
      </c>
      <c r="E55" s="202">
        <f>D55</f>
        <v>0</v>
      </c>
      <c r="F55" s="170"/>
      <c r="G55" s="129">
        <f t="shared" si="1"/>
        <v>1.4021999999999999</v>
      </c>
      <c r="H55" s="154">
        <f t="shared" si="0"/>
        <v>0</v>
      </c>
      <c r="I55" s="154"/>
    </row>
    <row r="56" spans="1:58" x14ac:dyDescent="0.35">
      <c r="A56" s="216"/>
      <c r="B56" s="205"/>
      <c r="C56" s="197" t="str">
        <f>'School DATA'!G24</f>
        <v>Add any other essential costs - write here - only in £</v>
      </c>
      <c r="D56" s="217">
        <f>'School DATA'!H24</f>
        <v>0</v>
      </c>
      <c r="E56" s="202">
        <f>D56</f>
        <v>0</v>
      </c>
      <c r="F56" s="170"/>
      <c r="G56" s="129">
        <f t="shared" si="1"/>
        <v>1.4021999999999999</v>
      </c>
      <c r="H56" s="154">
        <f t="shared" si="0"/>
        <v>0</v>
      </c>
    </row>
    <row r="57" spans="1:58" x14ac:dyDescent="0.35">
      <c r="A57" s="205"/>
      <c r="B57" s="205"/>
      <c r="C57" s="197" t="str">
        <f>'School DATA'!G25</f>
        <v>Add any other essential costs - write here - only in £</v>
      </c>
      <c r="D57" s="217">
        <f>'School DATA'!H25</f>
        <v>0</v>
      </c>
      <c r="E57" s="202">
        <f>D57</f>
        <v>0</v>
      </c>
      <c r="F57" s="170"/>
    </row>
    <row r="58" spans="1:58" ht="24" thickBot="1" x14ac:dyDescent="0.4">
      <c r="A58" s="220"/>
      <c r="B58" s="127"/>
      <c r="C58" s="221"/>
      <c r="D58" s="222"/>
      <c r="E58" s="223"/>
      <c r="F58" s="189"/>
      <c r="G58" s="224"/>
      <c r="H58" s="110" t="s">
        <v>163</v>
      </c>
      <c r="J58" s="110"/>
      <c r="K58" s="169" t="s">
        <v>164</v>
      </c>
      <c r="L58" s="169" t="s">
        <v>165</v>
      </c>
      <c r="M58" s="110" t="s">
        <v>166</v>
      </c>
      <c r="N58" s="110" t="s">
        <v>167</v>
      </c>
    </row>
    <row r="59" spans="1:58" ht="24" thickBot="1" x14ac:dyDescent="0.4">
      <c r="A59" s="190" t="s">
        <v>168</v>
      </c>
      <c r="B59" s="358" t="s">
        <v>169</v>
      </c>
      <c r="C59" s="358"/>
      <c r="D59" s="358"/>
      <c r="E59" s="359"/>
      <c r="F59" s="189"/>
      <c r="G59" s="225" t="s">
        <v>170</v>
      </c>
      <c r="H59" s="226" t="s">
        <v>171</v>
      </c>
      <c r="J59" s="129" t="s">
        <v>172</v>
      </c>
      <c r="K59" s="227">
        <f>H69</f>
        <v>0</v>
      </c>
      <c r="L59" s="227"/>
    </row>
    <row r="60" spans="1:58" s="113" customFormat="1" x14ac:dyDescent="0.35">
      <c r="A60" s="104"/>
      <c r="B60" s="104"/>
      <c r="C60" s="228" t="str">
        <f>G59</f>
        <v>Requested Cost of Attendance (Values rounded)</v>
      </c>
      <c r="D60" s="229" t="str">
        <f>H59</f>
        <v>$</v>
      </c>
      <c r="E60" s="230"/>
      <c r="F60" s="231"/>
      <c r="G60" s="232" t="s">
        <v>173</v>
      </c>
      <c r="H60" s="233">
        <f>ROUND(H32,0)</f>
        <v>0</v>
      </c>
      <c r="I60" s="129"/>
      <c r="J60" s="129" t="s">
        <v>174</v>
      </c>
      <c r="K60" s="227">
        <f>-D32</f>
        <v>0</v>
      </c>
      <c r="L60" s="227"/>
      <c r="M60" s="110"/>
      <c r="N60" s="129"/>
      <c r="O60" s="110"/>
      <c r="P60" s="110"/>
      <c r="Q60" s="111"/>
      <c r="R60" s="112"/>
      <c r="S60" s="112"/>
      <c r="T60" s="131"/>
      <c r="U60" s="112"/>
      <c r="V60" s="112"/>
      <c r="W60" s="112"/>
      <c r="X60" s="112"/>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row>
    <row r="61" spans="1:58" x14ac:dyDescent="0.35">
      <c r="A61" s="127"/>
      <c r="B61" s="127"/>
      <c r="C61" s="234" t="str">
        <f>G60</f>
        <v>Tuition Fees</v>
      </c>
      <c r="D61" s="235">
        <f>H60</f>
        <v>0</v>
      </c>
      <c r="E61" s="236"/>
      <c r="F61" s="231"/>
      <c r="G61" s="232" t="s">
        <v>175</v>
      </c>
      <c r="H61" s="233">
        <f>ROUND((IF(D27="N",I41,H41)),0)</f>
        <v>0</v>
      </c>
      <c r="J61" s="129" t="s">
        <v>176</v>
      </c>
      <c r="K61" s="227">
        <f>IF((SUM(K59:K60)&gt;0),(SUM(K59:K60)),0)</f>
        <v>0</v>
      </c>
      <c r="L61" s="227"/>
      <c r="N61" s="227">
        <f>IF((K61&lt;K63),(K63-K61),0)</f>
        <v>0</v>
      </c>
    </row>
    <row r="62" spans="1:58" x14ac:dyDescent="0.35">
      <c r="A62" s="127"/>
      <c r="B62" s="127"/>
      <c r="C62" s="234" t="str">
        <f t="shared" ref="C62:C80" si="2">G61</f>
        <v>Room</v>
      </c>
      <c r="D62" s="235">
        <f t="shared" ref="D62:D70" si="3">H61</f>
        <v>0</v>
      </c>
      <c r="E62" s="236"/>
      <c r="F62" s="231"/>
      <c r="G62" s="232" t="s">
        <v>177</v>
      </c>
      <c r="H62" s="233">
        <f>ROUND((IF(D27="N",I42,H42)),0)</f>
        <v>0</v>
      </c>
      <c r="J62" s="129" t="s">
        <v>178</v>
      </c>
      <c r="K62" s="227">
        <f>G28</f>
        <v>0</v>
      </c>
      <c r="L62" s="227"/>
    </row>
    <row r="63" spans="1:58" x14ac:dyDescent="0.35">
      <c r="A63" s="127"/>
      <c r="B63" s="127"/>
      <c r="C63" s="234" t="str">
        <f t="shared" si="2"/>
        <v>Board</v>
      </c>
      <c r="D63" s="235">
        <f t="shared" si="3"/>
        <v>0</v>
      </c>
      <c r="E63" s="236"/>
      <c r="F63" s="231"/>
      <c r="G63" s="232" t="s">
        <v>179</v>
      </c>
      <c r="H63" s="233">
        <f>ROUND((IF(D27="N",I43,H43)),0)</f>
        <v>0</v>
      </c>
      <c r="J63" s="110" t="s">
        <v>180</v>
      </c>
      <c r="K63" s="237">
        <f>IF((((K61/(100-N52))*100)&lt;K62),((K61/(100-N52))*100),K62)</f>
        <v>0</v>
      </c>
      <c r="L63" s="227"/>
      <c r="M63" s="129">
        <f>IF((N61&gt;0),0,(K63*O52))</f>
        <v>0</v>
      </c>
      <c r="P63" s="227"/>
    </row>
    <row r="64" spans="1:58" x14ac:dyDescent="0.35">
      <c r="A64" s="127"/>
      <c r="B64" s="127"/>
      <c r="C64" s="234" t="str">
        <f t="shared" si="2"/>
        <v>Books</v>
      </c>
      <c r="D64" s="235">
        <f t="shared" si="3"/>
        <v>0</v>
      </c>
      <c r="E64" s="236"/>
      <c r="F64" s="231"/>
      <c r="G64" s="232" t="s">
        <v>30</v>
      </c>
      <c r="H64" s="233">
        <f>ROUND((IF(D27="N",I44,H44)),0)</f>
        <v>0</v>
      </c>
      <c r="K64" s="227"/>
      <c r="L64" s="227"/>
    </row>
    <row r="65" spans="1:58" x14ac:dyDescent="0.35">
      <c r="A65" s="127"/>
      <c r="B65" s="127"/>
      <c r="C65" s="234" t="str">
        <f t="shared" si="2"/>
        <v>Travel</v>
      </c>
      <c r="D65" s="235">
        <f t="shared" si="3"/>
        <v>0</v>
      </c>
      <c r="E65" s="236"/>
      <c r="F65" s="231"/>
      <c r="G65" s="232" t="s">
        <v>143</v>
      </c>
      <c r="H65" s="233">
        <f>ROUND((IF(D27="N",I45,H45)),0)</f>
        <v>0</v>
      </c>
      <c r="J65" s="129" t="s">
        <v>181</v>
      </c>
      <c r="K65" s="227"/>
      <c r="L65" s="227">
        <f>IF((N61&gt;0),(K59+N61-K63),(K59-K63+M63))</f>
        <v>0</v>
      </c>
      <c r="N65" s="227">
        <f>IF((((L67-L65)&gt;0)),(L67-L65),0)</f>
        <v>0</v>
      </c>
    </row>
    <row r="66" spans="1:58" ht="24" thickBot="1" x14ac:dyDescent="0.4">
      <c r="A66" s="127"/>
      <c r="B66" s="127"/>
      <c r="C66" s="234" t="str">
        <f t="shared" si="2"/>
        <v>Personal</v>
      </c>
      <c r="D66" s="235">
        <f t="shared" si="3"/>
        <v>0</v>
      </c>
      <c r="E66" s="236"/>
      <c r="F66" s="231"/>
      <c r="G66" s="232" t="s">
        <v>182</v>
      </c>
      <c r="H66" s="238">
        <f>SUM(H50:H56)</f>
        <v>0</v>
      </c>
      <c r="J66" s="129" t="s">
        <v>183</v>
      </c>
      <c r="K66" s="227"/>
      <c r="L66" s="227">
        <f>G28+I28-K63</f>
        <v>20500</v>
      </c>
    </row>
    <row r="67" spans="1:58" x14ac:dyDescent="0.35">
      <c r="A67" s="127"/>
      <c r="B67" s="127"/>
      <c r="C67" s="239" t="str">
        <f t="shared" si="2"/>
        <v>Other Essential Costs</v>
      </c>
      <c r="D67" s="240">
        <f t="shared" si="3"/>
        <v>0</v>
      </c>
      <c r="E67" s="236"/>
      <c r="F67" s="241"/>
      <c r="G67" s="242" t="s">
        <v>184</v>
      </c>
      <c r="H67" s="243">
        <f>SUM(H60:H66)</f>
        <v>0</v>
      </c>
      <c r="I67" s="110"/>
      <c r="J67" s="110" t="s">
        <v>185</v>
      </c>
      <c r="K67" s="237"/>
      <c r="L67" s="237">
        <f>IF((((L65/(100-N53))*100)&lt;L66),((L65/(100-N53))*100),L66)</f>
        <v>0</v>
      </c>
      <c r="M67" s="129">
        <f>+IF((N65&gt;0),0,(L67*O53))</f>
        <v>0</v>
      </c>
      <c r="Q67" s="111"/>
      <c r="R67" s="112"/>
      <c r="S67" s="112"/>
    </row>
    <row r="68" spans="1:58" x14ac:dyDescent="0.35">
      <c r="A68" s="104"/>
      <c r="B68" s="104"/>
      <c r="C68" s="244" t="str">
        <f t="shared" si="2"/>
        <v>Total Cost of Attendance</v>
      </c>
      <c r="D68" s="245">
        <f t="shared" si="3"/>
        <v>0</v>
      </c>
      <c r="E68" s="246"/>
      <c r="F68" s="231"/>
      <c r="G68" s="232" t="s">
        <v>186</v>
      </c>
      <c r="H68" s="233">
        <f>ROUND((-I37),0)</f>
        <v>0</v>
      </c>
      <c r="K68" s="227"/>
      <c r="L68" s="227"/>
    </row>
    <row r="69" spans="1:58" s="113" customFormat="1" ht="24" thickBot="1" x14ac:dyDescent="0.4">
      <c r="A69" s="127"/>
      <c r="B69" s="127"/>
      <c r="C69" s="234" t="str">
        <f t="shared" si="2"/>
        <v>Adjust for Sponsorship, Awards or other Aid</v>
      </c>
      <c r="D69" s="235">
        <f t="shared" si="3"/>
        <v>0</v>
      </c>
      <c r="E69" s="236"/>
      <c r="F69" s="231"/>
      <c r="G69" s="247" t="s">
        <v>187</v>
      </c>
      <c r="H69" s="248">
        <f>ROUND((SUM(H67:H68)),0)</f>
        <v>0</v>
      </c>
      <c r="I69" s="129"/>
      <c r="J69" s="110" t="s">
        <v>188</v>
      </c>
      <c r="K69" s="227"/>
      <c r="L69" s="227"/>
      <c r="M69" s="110"/>
      <c r="N69" s="169"/>
      <c r="O69" s="110"/>
      <c r="P69" s="110"/>
      <c r="Q69" s="130"/>
      <c r="R69" s="131"/>
      <c r="S69" s="131"/>
      <c r="T69" s="112"/>
      <c r="U69" s="112"/>
      <c r="V69" s="112"/>
      <c r="W69" s="112"/>
      <c r="X69" s="112"/>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row>
    <row r="70" spans="1:58" ht="24.75" thickTop="1" thickBot="1" x14ac:dyDescent="0.4">
      <c r="A70" s="249" t="str">
        <f>IF((D38="Private Loan"),"Private loan requested","")</f>
        <v/>
      </c>
      <c r="B70" s="127"/>
      <c r="C70" s="250" t="str">
        <f>G69</f>
        <v>Total Requested Cost of Attendance</v>
      </c>
      <c r="D70" s="251">
        <f t="shared" si="3"/>
        <v>0</v>
      </c>
      <c r="E70" s="236"/>
      <c r="F70" s="231"/>
      <c r="H70" s="227"/>
      <c r="J70" s="129" t="s">
        <v>189</v>
      </c>
      <c r="K70" s="227">
        <f>IF((N65=0),(K59-K63-L67+M63+M67),0)</f>
        <v>0</v>
      </c>
      <c r="L70" s="227"/>
      <c r="M70" s="169"/>
      <c r="N70" s="169"/>
      <c r="O70" s="110"/>
    </row>
    <row r="71" spans="1:58" ht="24" thickTop="1" x14ac:dyDescent="0.35">
      <c r="A71" s="127"/>
      <c r="B71" s="127"/>
      <c r="C71" s="249"/>
      <c r="D71" s="235"/>
      <c r="E71" s="236"/>
      <c r="F71" s="231"/>
      <c r="H71" s="227"/>
      <c r="K71" s="227"/>
      <c r="L71" s="227"/>
      <c r="M71" s="169"/>
      <c r="N71" s="169"/>
      <c r="O71" s="110"/>
    </row>
    <row r="72" spans="1:58" x14ac:dyDescent="0.35">
      <c r="A72" s="127"/>
      <c r="B72" s="127"/>
      <c r="C72" s="249" t="str">
        <f>IF((D38=G12),"Maximum Private (Sallie Mae) loan we will certify is"," ")</f>
        <v xml:space="preserve"> </v>
      </c>
      <c r="D72" s="252" t="str">
        <f>IF((D38=G12),D80," ")</f>
        <v xml:space="preserve"> </v>
      </c>
      <c r="E72" s="236"/>
      <c r="F72" s="231"/>
      <c r="H72" s="227"/>
      <c r="K72" s="227"/>
      <c r="L72" s="227"/>
      <c r="M72" s="169"/>
      <c r="N72" s="169"/>
      <c r="O72" s="110"/>
    </row>
    <row r="73" spans="1:58" x14ac:dyDescent="0.35">
      <c r="A73" s="127"/>
      <c r="B73" s="127"/>
      <c r="C73" s="249" t="str">
        <f>IF((D38=G12),"As you said (in cell D38) that you are seeking a Sallie Mae loan there is no need to complete anything below this line."," ")</f>
        <v xml:space="preserve"> </v>
      </c>
      <c r="D73" s="235"/>
      <c r="E73" s="236"/>
      <c r="F73" s="231"/>
      <c r="G73" s="242" t="s">
        <v>190</v>
      </c>
      <c r="H73" s="253" t="s">
        <v>171</v>
      </c>
      <c r="J73" s="129" t="s">
        <v>191</v>
      </c>
      <c r="K73" s="227">
        <f>H5-K63-L67</f>
        <v>123486</v>
      </c>
      <c r="L73" s="227"/>
    </row>
    <row r="74" spans="1:58" x14ac:dyDescent="0.35">
      <c r="A74" s="127"/>
      <c r="B74" s="127"/>
      <c r="C74" s="249"/>
      <c r="D74" s="235"/>
      <c r="E74" s="236"/>
      <c r="F74" s="231"/>
      <c r="G74" s="242" t="s">
        <v>192</v>
      </c>
      <c r="H74" s="253"/>
      <c r="K74" s="227"/>
      <c r="L74" s="227"/>
    </row>
    <row r="75" spans="1:58" x14ac:dyDescent="0.35">
      <c r="A75" s="127"/>
      <c r="B75" s="127"/>
      <c r="C75" s="254" t="str">
        <f>IF((D38=G12),G74,G73)</f>
        <v>Maximum Govt. Loan you can borrow</v>
      </c>
      <c r="D75" s="235"/>
      <c r="E75" s="236"/>
      <c r="F75" s="231"/>
      <c r="G75" s="232" t="s">
        <v>193</v>
      </c>
      <c r="H75" s="227">
        <f>K63</f>
        <v>0</v>
      </c>
      <c r="J75" s="110" t="s">
        <v>194</v>
      </c>
      <c r="K75" s="237">
        <f>IF((((K70/(100-N54)*100))&lt;K73),((K70/(100-N54)*100)),(((K73+M63+M67)/(100-N54))*100))</f>
        <v>0</v>
      </c>
      <c r="L75" s="227"/>
      <c r="M75" s="227"/>
      <c r="N75" s="227"/>
    </row>
    <row r="76" spans="1:58" x14ac:dyDescent="0.35">
      <c r="A76" s="127"/>
      <c r="B76" s="127"/>
      <c r="C76" s="234" t="str">
        <f>IF((D27="N"),L28,G75)</f>
        <v>From July 2012 there is no Subsidised Loan for postgraduates</v>
      </c>
      <c r="D76" s="235">
        <f>H75</f>
        <v>0</v>
      </c>
      <c r="E76" s="236" t="str">
        <f>IF((N61&gt;0),"Grossed up for fees","")</f>
        <v/>
      </c>
      <c r="F76" s="231"/>
      <c r="G76" s="232" t="s">
        <v>195</v>
      </c>
      <c r="H76" s="227">
        <f>L67</f>
        <v>0</v>
      </c>
      <c r="L76" s="227"/>
      <c r="N76" s="255"/>
      <c r="P76" s="227"/>
    </row>
    <row r="77" spans="1:58" x14ac:dyDescent="0.35">
      <c r="A77" s="127"/>
      <c r="B77" s="127"/>
      <c r="C77" s="234" t="str">
        <f t="shared" si="2"/>
        <v>Unsubsudised</v>
      </c>
      <c r="D77" s="235">
        <f>H76</f>
        <v>0</v>
      </c>
      <c r="E77" s="236" t="str">
        <f>IF((N65&gt;0),"Grossed up for fees","")</f>
        <v/>
      </c>
      <c r="F77" s="231"/>
      <c r="G77" s="232" t="str">
        <f>IF((J78=2),K78,(IF((H69&gt;H5),"PLUS Loan to fulfil this CoA","")))</f>
        <v/>
      </c>
      <c r="I77" s="129" t="str">
        <f>IF((K73&lt;K70),K70,"")</f>
        <v/>
      </c>
      <c r="J77" s="110" t="s">
        <v>196</v>
      </c>
      <c r="N77" s="255"/>
      <c r="P77" s="227"/>
    </row>
    <row r="78" spans="1:58" x14ac:dyDescent="0.35">
      <c r="A78" s="127"/>
      <c r="B78" s="127"/>
      <c r="C78" s="234" t="str">
        <f t="shared" si="2"/>
        <v/>
      </c>
      <c r="D78" s="235"/>
      <c r="E78" s="235" t="str">
        <f>I77</f>
        <v/>
      </c>
      <c r="G78" s="232" t="str">
        <f>IF((J78=2),"","Maximum PLUS Loan allowed for this CoA")</f>
        <v>Maximum PLUS Loan allowed for this CoA</v>
      </c>
      <c r="H78" s="256">
        <f>IF((J78=2),"",(IF((K70&lt;K73),(K70-M67-M63),K73)))</f>
        <v>0</v>
      </c>
      <c r="J78" s="129">
        <f>(IF((D27="Y"),1,0))+(IF((D31="I"),1,0))</f>
        <v>1</v>
      </c>
      <c r="K78" s="129" t="s">
        <v>197</v>
      </c>
      <c r="N78" s="227"/>
    </row>
    <row r="79" spans="1:58" ht="24" thickBot="1" x14ac:dyDescent="0.4">
      <c r="A79" s="220"/>
      <c r="B79" s="220"/>
      <c r="C79" s="234" t="str">
        <f t="shared" si="2"/>
        <v>Maximum PLUS Loan allowed for this CoA</v>
      </c>
      <c r="D79" s="235">
        <f>H78</f>
        <v>0</v>
      </c>
      <c r="E79" s="136"/>
      <c r="F79" s="231"/>
      <c r="G79" s="247" t="s">
        <v>198</v>
      </c>
      <c r="H79" s="257">
        <f>SUM(H75:H78)</f>
        <v>0</v>
      </c>
      <c r="N79" s="255"/>
    </row>
    <row r="80" spans="1:58" ht="24.75" thickTop="1" thickBot="1" x14ac:dyDescent="0.4">
      <c r="A80" s="127"/>
      <c r="B80" s="127"/>
      <c r="C80" s="250" t="str">
        <f t="shared" si="2"/>
        <v>Total Eligible before adjustment for Fees</v>
      </c>
      <c r="D80" s="251">
        <f>H79</f>
        <v>0</v>
      </c>
      <c r="E80" s="236"/>
      <c r="F80" s="231"/>
      <c r="G80" s="258"/>
      <c r="H80" s="259"/>
      <c r="N80" s="255"/>
    </row>
    <row r="81" spans="1:58" ht="24.75" thickTop="1" thickBot="1" x14ac:dyDescent="0.4">
      <c r="A81" s="127"/>
      <c r="B81" s="127"/>
      <c r="C81" s="132"/>
      <c r="D81" s="236"/>
      <c r="E81" s="236"/>
      <c r="F81" s="241"/>
      <c r="G81" s="258"/>
      <c r="J81" s="258"/>
      <c r="K81" s="258"/>
      <c r="L81" s="258"/>
      <c r="M81" s="258"/>
      <c r="N81" s="258"/>
      <c r="O81" s="258"/>
      <c r="P81" s="258"/>
      <c r="Q81" s="108"/>
    </row>
    <row r="82" spans="1:58" s="266" customFormat="1" x14ac:dyDescent="0.35">
      <c r="A82" s="208" t="s">
        <v>199</v>
      </c>
      <c r="B82" s="260"/>
      <c r="C82" s="261" t="s">
        <v>200</v>
      </c>
      <c r="D82" s="262"/>
      <c r="E82" s="263"/>
      <c r="F82" s="241"/>
      <c r="G82" s="258"/>
      <c r="H82" s="258" t="s">
        <v>201</v>
      </c>
      <c r="I82" s="264" t="s">
        <v>202</v>
      </c>
      <c r="J82" s="258"/>
      <c r="K82" s="258"/>
      <c r="L82" s="258"/>
      <c r="M82" s="258"/>
      <c r="N82" s="258"/>
      <c r="O82" s="258"/>
      <c r="P82" s="258"/>
      <c r="Q82" s="108"/>
      <c r="R82" s="265"/>
      <c r="S82" s="265"/>
      <c r="T82" s="265"/>
      <c r="U82" s="265"/>
      <c r="V82" s="265"/>
      <c r="W82" s="265"/>
      <c r="X82" s="265"/>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row>
    <row r="83" spans="1:58" s="266" customFormat="1" x14ac:dyDescent="0.35">
      <c r="A83" s="267"/>
      <c r="B83" s="268"/>
      <c r="C83" s="269" t="str">
        <f>IF(H67&gt;H5, I82,"  ")</f>
        <v xml:space="preserve">  </v>
      </c>
      <c r="D83" s="270"/>
      <c r="E83" s="271"/>
      <c r="F83" s="241"/>
      <c r="G83" s="258"/>
      <c r="H83" s="258" t="s">
        <v>203</v>
      </c>
      <c r="I83" s="264" t="s">
        <v>204</v>
      </c>
      <c r="J83" s="258"/>
      <c r="K83" s="258"/>
      <c r="L83" s="258"/>
      <c r="M83" s="258"/>
      <c r="N83" s="258"/>
      <c r="O83" s="258"/>
      <c r="P83" s="258"/>
      <c r="Q83" s="108"/>
      <c r="R83" s="265"/>
      <c r="S83" s="265"/>
      <c r="T83" s="265"/>
      <c r="U83" s="265"/>
      <c r="V83" s="265"/>
      <c r="W83" s="265"/>
      <c r="X83" s="265"/>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row>
    <row r="84" spans="1:58" s="284" customFormat="1" ht="24" thickBot="1" x14ac:dyDescent="0.4">
      <c r="A84" s="272"/>
      <c r="B84" s="273"/>
      <c r="C84" s="274" t="str">
        <f>IF(H67&gt;H5, I83,I84)</f>
        <v>You are allowed to borrow up to the values above</v>
      </c>
      <c r="D84" s="275"/>
      <c r="E84" s="276"/>
      <c r="F84" s="277"/>
      <c r="G84" s="278"/>
      <c r="H84" s="279" t="s">
        <v>205</v>
      </c>
      <c r="I84" s="280" t="s">
        <v>206</v>
      </c>
      <c r="J84" s="279"/>
      <c r="K84" s="279"/>
      <c r="L84" s="279"/>
      <c r="M84" s="279"/>
      <c r="N84" s="279"/>
      <c r="O84" s="279"/>
      <c r="P84" s="279"/>
      <c r="Q84" s="281"/>
      <c r="R84" s="282"/>
      <c r="S84" s="282"/>
      <c r="T84" s="282"/>
      <c r="U84" s="282"/>
      <c r="V84" s="282"/>
      <c r="W84" s="282"/>
      <c r="X84" s="282"/>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row>
    <row r="85" spans="1:58" s="284" customFormat="1" ht="24" thickBot="1" x14ac:dyDescent="0.4">
      <c r="A85" s="285"/>
      <c r="B85" s="285"/>
      <c r="C85" s="286"/>
      <c r="D85" s="287"/>
      <c r="E85" s="287"/>
      <c r="F85" s="288"/>
      <c r="G85" s="278"/>
      <c r="H85" s="279"/>
      <c r="I85" s="279"/>
      <c r="J85" s="278"/>
      <c r="K85" s="278"/>
      <c r="L85" s="278"/>
      <c r="M85" s="278"/>
      <c r="N85" s="278"/>
      <c r="O85" s="278"/>
      <c r="P85" s="278"/>
      <c r="Q85" s="289"/>
      <c r="R85" s="282"/>
      <c r="S85" s="282"/>
      <c r="T85" s="282"/>
      <c r="U85" s="282"/>
      <c r="V85" s="282"/>
      <c r="W85" s="282"/>
      <c r="X85" s="282"/>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row>
    <row r="86" spans="1:58" s="286" customFormat="1" ht="47.25" thickBot="1" x14ac:dyDescent="0.4">
      <c r="A86" s="290" t="s">
        <v>207</v>
      </c>
      <c r="B86" s="290"/>
      <c r="C86" s="291" t="str">
        <f>IF((D38=G12),"THIS SECTION DOES NOT APPLY TO SALLIE MAE LOANS","YOU TELL US HOW MUCH WOULD YOU LIKE TO BORROW - YOU MAY REDUCE THE FIGURES IN BLUE")</f>
        <v>YOU TELL US HOW MUCH WOULD YOU LIKE TO BORROW - YOU MAY REDUCE THE FIGURES IN BLUE</v>
      </c>
      <c r="D86" s="292"/>
      <c r="E86" s="293"/>
      <c r="F86" s="294"/>
      <c r="G86" s="295" t="s">
        <v>208</v>
      </c>
      <c r="H86" s="296" t="s">
        <v>209</v>
      </c>
      <c r="I86" s="278"/>
      <c r="J86" s="278"/>
      <c r="K86" s="278"/>
      <c r="L86" s="279"/>
      <c r="M86" s="279"/>
      <c r="N86" s="279"/>
      <c r="O86" s="278"/>
      <c r="P86" s="278"/>
      <c r="Q86" s="289"/>
      <c r="R86" s="297"/>
      <c r="S86" s="297"/>
      <c r="T86" s="297"/>
      <c r="U86" s="297"/>
      <c r="V86" s="297"/>
      <c r="W86" s="297"/>
      <c r="X86" s="297"/>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row>
    <row r="87" spans="1:58" s="286" customFormat="1" ht="70.5" thickBot="1" x14ac:dyDescent="0.4">
      <c r="A87" s="299" t="s">
        <v>208</v>
      </c>
      <c r="B87" s="300" t="s">
        <v>210</v>
      </c>
      <c r="C87" s="301" t="s">
        <v>211</v>
      </c>
      <c r="D87" s="300" t="s">
        <v>212</v>
      </c>
      <c r="E87" s="302" t="s">
        <v>209</v>
      </c>
      <c r="F87" s="303"/>
      <c r="G87" s="304">
        <f>ROUND(K63,0)</f>
        <v>0</v>
      </c>
      <c r="H87" s="305">
        <f>ROUND(((G87*(1-O52))),0)</f>
        <v>0</v>
      </c>
      <c r="I87" s="278"/>
      <c r="J87" s="278"/>
      <c r="K87" s="278"/>
      <c r="L87" s="278"/>
      <c r="M87" s="278"/>
      <c r="N87" s="278"/>
      <c r="O87" s="278"/>
      <c r="P87" s="278"/>
      <c r="Q87" s="289"/>
      <c r="R87" s="297"/>
      <c r="S87" s="297"/>
      <c r="T87" s="297"/>
      <c r="U87" s="297"/>
      <c r="V87" s="297"/>
      <c r="W87" s="297"/>
      <c r="X87" s="297"/>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row>
    <row r="88" spans="1:58" s="286" customFormat="1" x14ac:dyDescent="0.35">
      <c r="A88" s="306">
        <f>IF((D38=G12),0,G87)</f>
        <v>0</v>
      </c>
      <c r="B88" s="307">
        <f>O52</f>
        <v>1.057E-2</v>
      </c>
      <c r="C88" s="308" t="str">
        <f>C76</f>
        <v>From July 2012 there is no Subsidised Loan for postgraduates</v>
      </c>
      <c r="D88" s="309">
        <v>0</v>
      </c>
      <c r="E88" s="310">
        <f>ROUND(((D88*(1-O52))),0)</f>
        <v>0</v>
      </c>
      <c r="F88" s="303"/>
      <c r="G88" s="304">
        <f>ROUND(L67,0)</f>
        <v>0</v>
      </c>
      <c r="H88" s="305">
        <f>ROUND(((G88*(1-O53))),0)</f>
        <v>0</v>
      </c>
      <c r="I88" s="278"/>
      <c r="J88" s="278"/>
      <c r="K88" s="278"/>
      <c r="L88" s="278"/>
      <c r="M88" s="278"/>
      <c r="N88" s="278"/>
      <c r="O88" s="278"/>
      <c r="P88" s="278"/>
      <c r="Q88" s="289"/>
      <c r="R88" s="297"/>
      <c r="S88" s="297"/>
      <c r="T88" s="297"/>
      <c r="U88" s="297"/>
      <c r="V88" s="297"/>
      <c r="W88" s="297"/>
      <c r="X88" s="297"/>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row>
    <row r="89" spans="1:58" s="286" customFormat="1" x14ac:dyDescent="0.35">
      <c r="A89" s="311">
        <f>IF((D38=G12),0,G88)</f>
        <v>0</v>
      </c>
      <c r="B89" s="312">
        <f>O53</f>
        <v>1.057E-2</v>
      </c>
      <c r="C89" s="313" t="s">
        <v>195</v>
      </c>
      <c r="D89" s="314">
        <v>0</v>
      </c>
      <c r="E89" s="315">
        <f>ROUND(((D89*(1-O53))),0)</f>
        <v>0</v>
      </c>
      <c r="F89" s="303"/>
      <c r="G89" s="304">
        <f>IF((J78=2),"",(ROUND(K75,0)))</f>
        <v>0</v>
      </c>
      <c r="H89" s="305">
        <f>ROUND(((G89*(1-O54))),0)</f>
        <v>0</v>
      </c>
      <c r="I89" s="278"/>
      <c r="J89" s="278"/>
      <c r="K89" s="278"/>
      <c r="L89" s="278"/>
      <c r="M89" s="278"/>
      <c r="N89" s="278"/>
      <c r="O89" s="278"/>
      <c r="P89" s="278"/>
      <c r="Q89" s="289"/>
      <c r="R89" s="316"/>
      <c r="S89" s="297"/>
      <c r="T89" s="297"/>
      <c r="U89" s="297"/>
      <c r="V89" s="297"/>
      <c r="W89" s="297"/>
      <c r="X89" s="297"/>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row>
    <row r="90" spans="1:58" s="286" customFormat="1" ht="24" thickBot="1" x14ac:dyDescent="0.4">
      <c r="A90" s="311">
        <f>IF((D38=G12),0,G89)</f>
        <v>0</v>
      </c>
      <c r="B90" s="312">
        <f>O54</f>
        <v>4.2279999999999998E-2</v>
      </c>
      <c r="C90" s="313" t="str">
        <f>IF((J78=2),K78,"PLUS Loan (Adjusted up to include all fees)")</f>
        <v>PLUS Loan (Adjusted up to include all fees)</v>
      </c>
      <c r="D90" s="314">
        <v>0</v>
      </c>
      <c r="E90" s="315">
        <f>ROUND(((D90*(1-O54))),0)</f>
        <v>0</v>
      </c>
      <c r="F90" s="288"/>
      <c r="G90" s="317">
        <f>SUM(G87:G89)</f>
        <v>0</v>
      </c>
      <c r="H90" s="318">
        <f>SUM(H87:H89)</f>
        <v>0</v>
      </c>
      <c r="I90" s="278"/>
      <c r="J90" s="278"/>
      <c r="K90" s="278"/>
      <c r="L90" s="278"/>
      <c r="M90" s="278"/>
      <c r="N90" s="278"/>
      <c r="O90" s="278"/>
      <c r="P90" s="319"/>
      <c r="Q90" s="320"/>
      <c r="R90" s="297"/>
      <c r="S90" s="297"/>
      <c r="T90" s="297"/>
      <c r="U90" s="297"/>
      <c r="V90" s="297"/>
      <c r="W90" s="297"/>
      <c r="X90" s="297"/>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row>
    <row r="91" spans="1:58" s="286" customFormat="1" ht="24.75" thickTop="1" thickBot="1" x14ac:dyDescent="0.4">
      <c r="A91" s="321">
        <f>IF((D38=G12),0,G90)</f>
        <v>0</v>
      </c>
      <c r="B91" s="322"/>
      <c r="C91" s="323" t="s">
        <v>213</v>
      </c>
      <c r="D91" s="324">
        <f>SUM(D88:D90)</f>
        <v>0</v>
      </c>
      <c r="E91" s="325">
        <f>SUM(E88:E90)</f>
        <v>0</v>
      </c>
      <c r="F91" s="326"/>
      <c r="G91" s="278"/>
      <c r="H91" s="279" t="s">
        <v>214</v>
      </c>
      <c r="I91" s="327" t="s">
        <v>215</v>
      </c>
      <c r="J91" s="278"/>
      <c r="K91" s="278"/>
      <c r="L91" s="278"/>
      <c r="M91" s="278"/>
      <c r="N91" s="278"/>
      <c r="O91" s="278"/>
      <c r="P91" s="278"/>
      <c r="Q91" s="328"/>
      <c r="R91" s="297"/>
      <c r="S91" s="297"/>
      <c r="T91" s="297"/>
      <c r="U91" s="297"/>
      <c r="V91" s="297"/>
      <c r="W91" s="297"/>
      <c r="X91" s="297"/>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row>
    <row r="92" spans="1:58" s="286" customFormat="1" x14ac:dyDescent="0.35">
      <c r="A92" s="329" t="s">
        <v>216</v>
      </c>
      <c r="B92" s="330"/>
      <c r="C92" s="331" t="str">
        <f>IF((D91&lt;(H5*1.04)),I91,I93)</f>
        <v>We will check everything you have provided with the USDE data and regulations</v>
      </c>
      <c r="D92" s="332"/>
      <c r="E92" s="333"/>
      <c r="F92" s="326"/>
      <c r="G92" s="278"/>
      <c r="H92" s="279" t="s">
        <v>217</v>
      </c>
      <c r="I92" s="327" t="s">
        <v>218</v>
      </c>
      <c r="J92" s="278"/>
      <c r="K92" s="278"/>
      <c r="L92" s="278"/>
      <c r="M92" s="278"/>
      <c r="N92" s="278"/>
      <c r="O92" s="278"/>
      <c r="P92" s="278"/>
      <c r="Q92" s="289"/>
      <c r="R92" s="297"/>
      <c r="S92" s="297"/>
      <c r="T92" s="297"/>
      <c r="U92" s="297"/>
      <c r="V92" s="297"/>
      <c r="W92" s="297"/>
      <c r="X92" s="297"/>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row>
    <row r="93" spans="1:58" s="286" customFormat="1" ht="24" thickBot="1" x14ac:dyDescent="0.4">
      <c r="A93" s="334"/>
      <c r="B93" s="335"/>
      <c r="C93" s="336" t="str">
        <f>IF((D91&lt;(H5*1.04)),I92,I94)</f>
        <v>If everything is correct we will originate your loans and issue a certificate for visa application</v>
      </c>
      <c r="D93" s="337"/>
      <c r="E93" s="338"/>
      <c r="F93" s="326"/>
      <c r="G93" s="278"/>
      <c r="H93" s="279" t="s">
        <v>201</v>
      </c>
      <c r="I93" s="280" t="s">
        <v>219</v>
      </c>
      <c r="J93" s="278"/>
      <c r="K93" s="278"/>
      <c r="L93" s="278"/>
      <c r="M93" s="278"/>
      <c r="N93" s="278"/>
      <c r="O93" s="278"/>
      <c r="P93" s="278"/>
      <c r="Q93" s="289"/>
      <c r="R93" s="297"/>
      <c r="S93" s="297"/>
      <c r="T93" s="297"/>
      <c r="U93" s="297"/>
      <c r="V93" s="297"/>
      <c r="W93" s="297"/>
      <c r="X93" s="297"/>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row>
    <row r="94" spans="1:58" s="286" customFormat="1" ht="24" thickBot="1" x14ac:dyDescent="0.4">
      <c r="A94" s="339"/>
      <c r="B94" s="340"/>
      <c r="C94" s="341"/>
      <c r="D94" s="342"/>
      <c r="E94" s="342"/>
      <c r="F94" s="326"/>
      <c r="G94" s="278"/>
      <c r="H94" s="279" t="s">
        <v>203</v>
      </c>
      <c r="I94" s="278"/>
      <c r="J94" s="278"/>
      <c r="K94" s="278"/>
      <c r="L94" s="278"/>
      <c r="M94" s="278"/>
      <c r="N94" s="278"/>
      <c r="O94" s="278"/>
      <c r="P94" s="278"/>
      <c r="Q94" s="289"/>
      <c r="R94" s="297"/>
      <c r="S94" s="297"/>
      <c r="T94" s="297"/>
      <c r="U94" s="297"/>
      <c r="V94" s="297"/>
      <c r="W94" s="297"/>
      <c r="X94" s="297"/>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row>
    <row r="95" spans="1:58" s="286" customFormat="1" ht="47.25" thickBot="1" x14ac:dyDescent="0.4">
      <c r="A95" s="343" t="s">
        <v>220</v>
      </c>
      <c r="B95" s="344">
        <f>B88</f>
        <v>1.057E-2</v>
      </c>
      <c r="C95" s="345" t="str">
        <f>C88&amp;" Origination Fee of "&amp;L52&amp;"% less Interest Rebate of "&amp;M52&amp;"%"</f>
        <v>From July 2012 there is no Subsidised Loan for postgraduates Origination Fee of 1.057% less Interest Rebate of 0%</v>
      </c>
      <c r="D95" s="342"/>
      <c r="E95" s="346"/>
      <c r="F95" s="326"/>
      <c r="G95" s="278"/>
      <c r="H95" s="278"/>
      <c r="I95" s="278"/>
      <c r="J95" s="278"/>
      <c r="K95" s="278"/>
      <c r="L95" s="278"/>
      <c r="M95" s="278"/>
      <c r="N95" s="278"/>
      <c r="O95" s="278"/>
      <c r="P95" s="278"/>
      <c r="Q95" s="289"/>
      <c r="R95" s="297"/>
      <c r="S95" s="297"/>
      <c r="T95" s="297"/>
      <c r="U95" s="297"/>
      <c r="V95" s="297"/>
      <c r="W95" s="297"/>
      <c r="X95" s="297"/>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row>
    <row r="96" spans="1:58" s="286" customFormat="1" x14ac:dyDescent="0.35">
      <c r="A96" s="339"/>
      <c r="B96" s="344">
        <f>B89</f>
        <v>1.057E-2</v>
      </c>
      <c r="C96" s="345" t="str">
        <f>C89&amp;" Origination Fee of "&amp;L53&amp;"% less Interest Rebate of "&amp;M53&amp;"%"</f>
        <v>Unsubsudised Origination Fee of 1.057% less Interest Rebate of 0%</v>
      </c>
      <c r="D96" s="342"/>
      <c r="E96" s="342"/>
      <c r="F96" s="326"/>
      <c r="G96" s="278"/>
      <c r="H96" s="278"/>
      <c r="I96" s="278"/>
      <c r="J96" s="278"/>
      <c r="K96" s="278"/>
      <c r="L96" s="278"/>
      <c r="M96" s="278"/>
      <c r="N96" s="278"/>
      <c r="O96" s="278"/>
      <c r="P96" s="278"/>
      <c r="Q96" s="289"/>
      <c r="R96" s="297"/>
      <c r="S96" s="297"/>
      <c r="T96" s="297"/>
      <c r="U96" s="297"/>
      <c r="V96" s="297"/>
      <c r="W96" s="297"/>
      <c r="X96" s="297"/>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row>
    <row r="97" spans="1:58" s="286" customFormat="1" x14ac:dyDescent="0.35">
      <c r="A97" s="340"/>
      <c r="B97" s="344">
        <v>4.2279999999999998E-2</v>
      </c>
      <c r="C97" s="345" t="str">
        <f>C90&amp;" Origination Fee of "&amp;L54&amp;"% less Interest Rebate of "&amp;M54&amp;"%"</f>
        <v>PLUS Loan (Adjusted up to include all fees) Origination Fee of 4.228% less Interest Rebate of 0%</v>
      </c>
      <c r="D97" s="342"/>
      <c r="E97" s="342"/>
      <c r="F97" s="326"/>
      <c r="G97" s="278"/>
      <c r="H97" s="278"/>
      <c r="I97" s="278"/>
      <c r="J97" s="278"/>
      <c r="K97" s="278"/>
      <c r="L97" s="278"/>
      <c r="M97" s="278"/>
      <c r="N97" s="278"/>
      <c r="O97" s="278"/>
      <c r="P97" s="278"/>
      <c r="Q97" s="289"/>
      <c r="R97" s="297"/>
      <c r="S97" s="297"/>
      <c r="T97" s="297"/>
      <c r="U97" s="297"/>
      <c r="V97" s="297"/>
      <c r="W97" s="297"/>
      <c r="X97" s="297"/>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row>
    <row r="98" spans="1:58" s="286" customFormat="1" x14ac:dyDescent="0.35">
      <c r="A98" s="340"/>
      <c r="B98" s="347"/>
      <c r="C98" s="348"/>
      <c r="D98" s="342"/>
      <c r="E98" s="342"/>
      <c r="F98" s="326"/>
      <c r="G98" s="278"/>
      <c r="H98" s="278"/>
      <c r="I98" s="278"/>
      <c r="J98" s="278"/>
      <c r="K98" s="278"/>
      <c r="L98" s="278"/>
      <c r="M98" s="278"/>
      <c r="N98" s="278"/>
      <c r="O98" s="278"/>
      <c r="P98" s="278"/>
      <c r="Q98" s="289"/>
      <c r="R98" s="297"/>
      <c r="S98" s="297"/>
      <c r="T98" s="297"/>
      <c r="U98" s="297"/>
      <c r="V98" s="297"/>
      <c r="W98" s="297"/>
      <c r="X98" s="297"/>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row>
    <row r="99" spans="1:58" x14ac:dyDescent="0.35">
      <c r="A99" s="340"/>
      <c r="B99" s="340"/>
      <c r="C99" s="348"/>
      <c r="D99" s="342"/>
      <c r="E99" s="342"/>
    </row>
    <row r="100" spans="1:58" x14ac:dyDescent="0.35">
      <c r="A100" s="220"/>
      <c r="B100" s="220"/>
      <c r="C100" s="132"/>
      <c r="D100" s="136"/>
      <c r="E100" s="136"/>
    </row>
    <row r="101" spans="1:58" x14ac:dyDescent="0.35">
      <c r="A101" s="349"/>
      <c r="B101" s="220"/>
      <c r="C101" s="132"/>
      <c r="D101" s="136"/>
      <c r="E101" s="136"/>
    </row>
    <row r="102" spans="1:58" x14ac:dyDescent="0.35">
      <c r="A102" s="349"/>
      <c r="B102" s="220"/>
      <c r="C102" s="132"/>
      <c r="D102" s="136"/>
      <c r="E102" s="136"/>
    </row>
    <row r="103" spans="1:58" x14ac:dyDescent="0.35">
      <c r="A103" s="220"/>
      <c r="B103" s="220"/>
      <c r="C103" s="132"/>
      <c r="D103" s="136"/>
      <c r="E103" s="136"/>
    </row>
    <row r="104" spans="1:58" x14ac:dyDescent="0.35">
      <c r="A104" s="220"/>
      <c r="B104" s="220"/>
      <c r="C104" s="132"/>
      <c r="D104" s="136"/>
      <c r="E104" s="136"/>
    </row>
    <row r="105" spans="1:58" x14ac:dyDescent="0.35">
      <c r="A105" s="220"/>
      <c r="B105" s="220"/>
      <c r="C105" s="132"/>
      <c r="D105" s="136"/>
      <c r="E105" s="136"/>
    </row>
    <row r="106" spans="1:58" x14ac:dyDescent="0.35">
      <c r="A106" s="220"/>
      <c r="B106" s="220"/>
      <c r="C106" s="132"/>
      <c r="D106" s="136"/>
      <c r="E106" s="136"/>
    </row>
    <row r="107" spans="1:58" x14ac:dyDescent="0.35">
      <c r="A107" s="220"/>
      <c r="B107" s="220"/>
      <c r="C107" s="132"/>
      <c r="D107" s="136"/>
      <c r="E107" s="136"/>
    </row>
    <row r="108" spans="1:58" x14ac:dyDescent="0.35">
      <c r="A108" s="220"/>
      <c r="B108" s="220"/>
      <c r="C108" s="132"/>
      <c r="D108" s="136"/>
      <c r="E108" s="136"/>
    </row>
    <row r="109" spans="1:58" x14ac:dyDescent="0.35">
      <c r="A109" s="220"/>
      <c r="B109" s="220"/>
      <c r="C109" s="132"/>
      <c r="D109" s="136"/>
      <c r="E109" s="136"/>
    </row>
    <row r="110" spans="1:58" x14ac:dyDescent="0.35">
      <c r="A110" s="220"/>
      <c r="B110" s="220"/>
      <c r="C110" s="132"/>
      <c r="D110" s="136"/>
      <c r="E110" s="136"/>
    </row>
    <row r="111" spans="1:58" x14ac:dyDescent="0.35">
      <c r="A111" s="220"/>
      <c r="B111" s="220"/>
      <c r="C111" s="132"/>
      <c r="D111" s="136"/>
      <c r="E111" s="136"/>
    </row>
    <row r="112" spans="1:58" x14ac:dyDescent="0.35">
      <c r="A112" s="220"/>
      <c r="B112" s="220"/>
      <c r="C112" s="132"/>
      <c r="D112" s="136"/>
      <c r="E112" s="136"/>
    </row>
    <row r="113" spans="1:5" x14ac:dyDescent="0.35">
      <c r="A113" s="220"/>
      <c r="B113" s="220"/>
      <c r="C113" s="132"/>
      <c r="D113" s="136"/>
      <c r="E113" s="136"/>
    </row>
    <row r="114" spans="1:5" x14ac:dyDescent="0.35">
      <c r="A114" s="220"/>
      <c r="B114" s="220"/>
      <c r="C114" s="132"/>
      <c r="D114" s="136"/>
      <c r="E114" s="136"/>
    </row>
    <row r="115" spans="1:5" x14ac:dyDescent="0.35">
      <c r="A115" s="220"/>
      <c r="B115" s="220"/>
      <c r="C115" s="132"/>
      <c r="D115" s="136"/>
      <c r="E115" s="136"/>
    </row>
    <row r="116" spans="1:5" x14ac:dyDescent="0.35">
      <c r="A116" s="220"/>
      <c r="B116" s="220"/>
      <c r="C116" s="132"/>
      <c r="D116" s="136"/>
      <c r="E116" s="136"/>
    </row>
    <row r="117" spans="1:5" x14ac:dyDescent="0.35">
      <c r="A117" s="220"/>
      <c r="B117" s="220"/>
      <c r="C117" s="132"/>
      <c r="D117" s="136"/>
      <c r="E117" s="136"/>
    </row>
    <row r="118" spans="1:5" x14ac:dyDescent="0.35">
      <c r="A118" s="220"/>
      <c r="B118" s="220"/>
      <c r="C118" s="132"/>
      <c r="D118" s="136"/>
      <c r="E118" s="136"/>
    </row>
    <row r="119" spans="1:5" x14ac:dyDescent="0.35">
      <c r="A119" s="220"/>
      <c r="B119" s="220"/>
      <c r="C119" s="132"/>
      <c r="D119" s="136"/>
      <c r="E119" s="136"/>
    </row>
    <row r="120" spans="1:5" x14ac:dyDescent="0.35">
      <c r="A120" s="220"/>
      <c r="B120" s="220"/>
      <c r="C120" s="132"/>
      <c r="D120" s="136"/>
      <c r="E120" s="136"/>
    </row>
    <row r="121" spans="1:5" x14ac:dyDescent="0.35">
      <c r="A121" s="220"/>
      <c r="B121" s="220"/>
      <c r="C121" s="132"/>
      <c r="D121" s="136"/>
      <c r="E121" s="136"/>
    </row>
    <row r="122" spans="1:5" x14ac:dyDescent="0.35">
      <c r="A122" s="220"/>
      <c r="B122" s="220"/>
      <c r="C122" s="132"/>
      <c r="D122" s="136"/>
      <c r="E122" s="136"/>
    </row>
    <row r="123" spans="1:5" x14ac:dyDescent="0.35">
      <c r="A123" s="220"/>
      <c r="B123" s="220"/>
      <c r="C123" s="132"/>
      <c r="D123" s="136"/>
      <c r="E123" s="136"/>
    </row>
    <row r="124" spans="1:5" x14ac:dyDescent="0.35">
      <c r="A124" s="220"/>
      <c r="B124" s="220"/>
      <c r="C124" s="132"/>
      <c r="D124" s="136"/>
      <c r="E124" s="136"/>
    </row>
    <row r="125" spans="1:5" x14ac:dyDescent="0.35">
      <c r="A125" s="220"/>
      <c r="B125" s="220"/>
      <c r="C125" s="132"/>
      <c r="D125" s="136"/>
      <c r="E125" s="136"/>
    </row>
    <row r="126" spans="1:5" x14ac:dyDescent="0.35">
      <c r="A126" s="220"/>
      <c r="B126" s="220"/>
      <c r="C126" s="132"/>
      <c r="D126" s="136"/>
    </row>
  </sheetData>
  <sheetProtection selectLockedCells="1"/>
  <mergeCells count="16">
    <mergeCell ref="C19:E19"/>
    <mergeCell ref="C12:D12"/>
    <mergeCell ref="B59:E59"/>
    <mergeCell ref="E49:E50"/>
    <mergeCell ref="D49:D50"/>
    <mergeCell ref="C20:E20"/>
    <mergeCell ref="C21:E21"/>
    <mergeCell ref="C22:E22"/>
    <mergeCell ref="C23:E23"/>
    <mergeCell ref="C24:E24"/>
    <mergeCell ref="C25:E25"/>
    <mergeCell ref="C14:E14"/>
    <mergeCell ref="C15:E15"/>
    <mergeCell ref="C16:E16"/>
    <mergeCell ref="C17:E17"/>
    <mergeCell ref="C18:E18"/>
  </mergeCells>
  <phoneticPr fontId="2" type="noConversion"/>
  <conditionalFormatting sqref="C28:C29 D28:D30">
    <cfRule type="cellIs" dxfId="0" priority="1" stopIfTrue="1" operator="equal">
      <formula>"Do not adjust this line"</formula>
    </cfRule>
  </conditionalFormatting>
  <dataValidations count="5">
    <dataValidation type="list" allowBlank="1" showInputMessage="1" showErrorMessage="1" sqref="D31" xr:uid="{00000000-0002-0000-0300-000000000000}">
      <formula1>$G$9:$G$10</formula1>
    </dataValidation>
    <dataValidation type="list" allowBlank="1" showInputMessage="1" showErrorMessage="1" sqref="D38" xr:uid="{00000000-0002-0000-0300-000001000000}">
      <formula1>$G$12:$G$13</formula1>
    </dataValidation>
    <dataValidation type="list" allowBlank="1" showInputMessage="1" showErrorMessage="1" sqref="D30" xr:uid="{00000000-0002-0000-0300-000002000000}">
      <formula1>$I$9:$I$11</formula1>
    </dataValidation>
    <dataValidation type="list" allowBlank="1" showInputMessage="1" showErrorMessage="1" sqref="D27:D29" xr:uid="{00000000-0002-0000-0300-000003000000}">
      <formula1>$H$9:$H$10</formula1>
    </dataValidation>
    <dataValidation type="list" allowBlank="1" showInputMessage="1" showErrorMessage="1" sqref="F29 E30" xr:uid="{00000000-0002-0000-0300-000004000000}">
      <formula1>$I$9:$I$23</formula1>
    </dataValidation>
  </dataValidations>
  <printOptions horizontalCentered="1" verticalCentered="1"/>
  <pageMargins left="0.31496062992125984" right="0.19685039370078741" top="0.19685039370078741" bottom="0.39370078740157483" header="0" footer="0"/>
  <pageSetup paperSize="9" scale="47" orientation="portrait"/>
  <headerFooter alignWithMargins="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K57"/>
  <sheetViews>
    <sheetView zoomScale="110" zoomScaleNormal="110" workbookViewId="0">
      <selection activeCell="G4" sqref="G4"/>
    </sheetView>
  </sheetViews>
  <sheetFormatPr defaultColWidth="9.140625" defaultRowHeight="12.75" x14ac:dyDescent="0.2"/>
  <cols>
    <col min="1" max="1" width="11.42578125" style="38" customWidth="1"/>
    <col min="2" max="2" width="32.140625" style="3" customWidth="1"/>
    <col min="3" max="3" width="38.140625" style="3" bestFit="1" customWidth="1"/>
    <col min="4" max="4" width="16.28515625" style="3" customWidth="1"/>
    <col min="5" max="5" width="14" style="3" customWidth="1"/>
    <col min="6" max="6" width="5.140625" style="8" customWidth="1"/>
    <col min="7" max="7" width="72.7109375" style="3" customWidth="1"/>
    <col min="8" max="8" width="14.28515625" style="3" customWidth="1"/>
    <col min="9" max="9" width="19.42578125" style="3" customWidth="1"/>
    <col min="10" max="10" width="14.28515625" style="3" customWidth="1"/>
    <col min="11" max="256" width="11.42578125" style="3" customWidth="1"/>
    <col min="257" max="16384" width="9.140625" style="3"/>
  </cols>
  <sheetData>
    <row r="1" spans="1:11" s="43" customFormat="1" ht="20.25" x14ac:dyDescent="0.3">
      <c r="A1" s="44"/>
      <c r="B1" s="42" t="s">
        <v>221</v>
      </c>
      <c r="C1" s="42"/>
      <c r="D1" s="42" t="s">
        <v>222</v>
      </c>
      <c r="E1" s="42"/>
      <c r="F1" s="47"/>
      <c r="G1" s="42"/>
      <c r="H1" s="42"/>
      <c r="I1" s="42"/>
      <c r="J1" s="42"/>
    </row>
    <row r="2" spans="1:11" s="5" customFormat="1" ht="15.75" x14ac:dyDescent="0.25">
      <c r="A2" s="45"/>
      <c r="D2" s="4" t="s">
        <v>223</v>
      </c>
      <c r="E2" s="4"/>
      <c r="F2" s="48"/>
      <c r="G2" s="4"/>
      <c r="H2" s="4"/>
      <c r="I2" s="4"/>
      <c r="J2" s="4"/>
    </row>
    <row r="3" spans="1:11" s="13" customFormat="1" ht="15.75" x14ac:dyDescent="0.25">
      <c r="A3" s="46"/>
      <c r="D3" s="13" t="s">
        <v>224</v>
      </c>
      <c r="F3" s="46"/>
      <c r="H3" s="13" t="s">
        <v>225</v>
      </c>
    </row>
    <row r="4" spans="1:11" s="13" customFormat="1" ht="15.75" x14ac:dyDescent="0.25">
      <c r="A4" s="46"/>
      <c r="F4" s="46"/>
    </row>
    <row r="5" spans="1:11" x14ac:dyDescent="0.2">
      <c r="D5" s="40" t="s">
        <v>226</v>
      </c>
      <c r="E5" s="41"/>
      <c r="H5" s="40" t="s">
        <v>227</v>
      </c>
      <c r="I5" s="41"/>
      <c r="J5" s="40"/>
      <c r="K5" s="52"/>
    </row>
    <row r="6" spans="1:11" s="2" customFormat="1" x14ac:dyDescent="0.2">
      <c r="A6" s="38">
        <v>1</v>
      </c>
      <c r="B6" s="2" t="s">
        <v>228</v>
      </c>
      <c r="C6" s="6" t="s">
        <v>229</v>
      </c>
      <c r="D6" s="35" t="s">
        <v>360</v>
      </c>
      <c r="F6" s="38">
        <v>6</v>
      </c>
      <c r="G6" s="2" t="s">
        <v>230</v>
      </c>
      <c r="H6" s="3"/>
    </row>
    <row r="7" spans="1:11" x14ac:dyDescent="0.2">
      <c r="C7" s="6" t="s">
        <v>231</v>
      </c>
      <c r="D7" s="31">
        <v>45922</v>
      </c>
      <c r="E7" s="14">
        <f>D7+363</f>
        <v>46285</v>
      </c>
      <c r="G7" s="3" t="s">
        <v>232</v>
      </c>
      <c r="H7" s="30">
        <v>35000</v>
      </c>
      <c r="I7" s="15"/>
      <c r="J7" s="16">
        <f>H7</f>
        <v>35000</v>
      </c>
    </row>
    <row r="8" spans="1:11" x14ac:dyDescent="0.2">
      <c r="C8" s="6" t="s">
        <v>233</v>
      </c>
      <c r="D8" s="31">
        <v>45853</v>
      </c>
      <c r="H8" s="17"/>
      <c r="I8" s="15"/>
      <c r="J8" s="15"/>
    </row>
    <row r="9" spans="1:11" s="2" customFormat="1" x14ac:dyDescent="0.2">
      <c r="A9" s="38"/>
      <c r="B9" s="2" t="s">
        <v>234</v>
      </c>
      <c r="D9" s="9"/>
      <c r="F9" s="38">
        <v>7</v>
      </c>
      <c r="G9" s="2" t="s">
        <v>235</v>
      </c>
      <c r="H9" s="40" t="s">
        <v>236</v>
      </c>
      <c r="I9" s="41"/>
      <c r="J9" s="40"/>
    </row>
    <row r="10" spans="1:11" s="2" customFormat="1" x14ac:dyDescent="0.2">
      <c r="A10" s="38"/>
      <c r="B10" s="3" t="s">
        <v>237</v>
      </c>
      <c r="D10" s="31">
        <v>45908</v>
      </c>
      <c r="E10" s="19" t="s">
        <v>238</v>
      </c>
      <c r="F10" s="38"/>
      <c r="G10" s="3" t="s">
        <v>239</v>
      </c>
      <c r="H10" s="30">
        <v>450</v>
      </c>
      <c r="I10" s="20"/>
      <c r="J10" s="18"/>
    </row>
    <row r="11" spans="1:11" s="2" customFormat="1" x14ac:dyDescent="0.2">
      <c r="A11" s="38"/>
      <c r="B11" s="3" t="s">
        <v>240</v>
      </c>
      <c r="D11" s="31">
        <v>46211</v>
      </c>
      <c r="E11" s="21">
        <f>ROUND(((MAX(D11:D12)-D10)/7),0)</f>
        <v>43</v>
      </c>
      <c r="F11" s="38"/>
      <c r="G11" s="3" t="s">
        <v>241</v>
      </c>
      <c r="H11" s="30">
        <v>400</v>
      </c>
      <c r="I11" s="16">
        <f>MAX(H10:H11)</f>
        <v>450</v>
      </c>
      <c r="J11" s="18"/>
    </row>
    <row r="12" spans="1:11" s="2" customFormat="1" x14ac:dyDescent="0.2">
      <c r="A12" s="38"/>
      <c r="B12" s="10" t="s">
        <v>242</v>
      </c>
      <c r="C12" s="3" t="s">
        <v>243</v>
      </c>
      <c r="D12" s="31"/>
      <c r="E12" s="19" t="s">
        <v>244</v>
      </c>
      <c r="F12" s="38"/>
      <c r="G12" s="3" t="s">
        <v>245</v>
      </c>
      <c r="H12" s="30">
        <v>75</v>
      </c>
      <c r="I12" s="18"/>
      <c r="J12" s="18"/>
    </row>
    <row r="13" spans="1:11" s="6" customFormat="1" x14ac:dyDescent="0.2">
      <c r="A13" s="38"/>
      <c r="D13" s="7"/>
      <c r="E13" s="19">
        <v>52</v>
      </c>
      <c r="F13" s="38"/>
      <c r="G13" s="3" t="s">
        <v>246</v>
      </c>
      <c r="H13" s="30">
        <v>75</v>
      </c>
      <c r="I13" s="22"/>
      <c r="J13" s="22"/>
    </row>
    <row r="14" spans="1:11" x14ac:dyDescent="0.2">
      <c r="A14" s="38">
        <v>2</v>
      </c>
      <c r="B14" s="2" t="s">
        <v>247</v>
      </c>
      <c r="C14" s="6"/>
      <c r="D14" s="9"/>
      <c r="G14" s="3" t="s">
        <v>248</v>
      </c>
      <c r="H14" s="30">
        <v>25</v>
      </c>
      <c r="I14" s="15"/>
      <c r="J14" s="15"/>
    </row>
    <row r="15" spans="1:11" x14ac:dyDescent="0.2">
      <c r="B15" s="2" t="s">
        <v>249</v>
      </c>
      <c r="D15" s="9"/>
      <c r="G15" s="3" t="s">
        <v>250</v>
      </c>
      <c r="H15" s="30">
        <v>55</v>
      </c>
      <c r="I15" s="15"/>
      <c r="J15" s="15"/>
    </row>
    <row r="16" spans="1:11" x14ac:dyDescent="0.2">
      <c r="B16" s="6" t="s">
        <v>251</v>
      </c>
      <c r="D16" s="9"/>
      <c r="G16" s="3" t="s">
        <v>252</v>
      </c>
      <c r="H16" s="30">
        <v>75</v>
      </c>
      <c r="I16" s="16">
        <f>SUM(H12:H16)</f>
        <v>305</v>
      </c>
      <c r="J16" s="16">
        <f>(SUM(I11:I16))*E13</f>
        <v>39260</v>
      </c>
    </row>
    <row r="17" spans="1:11" x14ac:dyDescent="0.2">
      <c r="B17" s="6" t="s">
        <v>253</v>
      </c>
      <c r="D17" s="40" t="s">
        <v>254</v>
      </c>
      <c r="E17" s="41"/>
      <c r="H17" s="9"/>
      <c r="I17" s="15"/>
      <c r="J17" s="15"/>
    </row>
    <row r="18" spans="1:11" x14ac:dyDescent="0.2">
      <c r="B18" s="3" t="s">
        <v>255</v>
      </c>
      <c r="D18" s="31">
        <v>45929</v>
      </c>
      <c r="E18" s="14">
        <f>D19-1</f>
        <v>46054</v>
      </c>
      <c r="F18" s="8">
        <v>8</v>
      </c>
      <c r="G18" s="2" t="s">
        <v>256</v>
      </c>
      <c r="H18" s="9"/>
      <c r="I18" s="15"/>
      <c r="J18" s="15"/>
    </row>
    <row r="19" spans="1:11" x14ac:dyDescent="0.2">
      <c r="B19" s="3" t="s">
        <v>257</v>
      </c>
      <c r="D19" s="31">
        <v>46055</v>
      </c>
      <c r="E19" s="14">
        <f>IF((D20&gt;0),(D20-1),(MAX(D10:D11)))</f>
        <v>46145</v>
      </c>
      <c r="G19" s="3" t="s">
        <v>258</v>
      </c>
      <c r="H19" s="30">
        <v>1350</v>
      </c>
      <c r="I19" s="23"/>
      <c r="J19" s="16">
        <f>H19*2</f>
        <v>2700</v>
      </c>
    </row>
    <row r="20" spans="1:11" x14ac:dyDescent="0.2">
      <c r="B20" s="3" t="s">
        <v>259</v>
      </c>
      <c r="D20" s="31">
        <v>46146</v>
      </c>
      <c r="E20" s="14">
        <f>IF((D21&gt;0),(D21-1),(MAX(D11:D12)))</f>
        <v>46211</v>
      </c>
      <c r="G20" s="3" t="s">
        <v>260</v>
      </c>
      <c r="H20" s="30">
        <v>500</v>
      </c>
      <c r="I20" s="23"/>
      <c r="J20" s="15"/>
    </row>
    <row r="21" spans="1:11" x14ac:dyDescent="0.2">
      <c r="B21" s="3" t="s">
        <v>261</v>
      </c>
      <c r="D21" s="31"/>
      <c r="E21" s="14">
        <f>IF((D22&gt;0),(D22-1),(MAX(D11:D12)))</f>
        <v>46211</v>
      </c>
      <c r="G21" s="3" t="s">
        <v>262</v>
      </c>
      <c r="H21" s="30">
        <v>1300</v>
      </c>
      <c r="I21" s="23"/>
      <c r="J21" s="15"/>
    </row>
    <row r="22" spans="1:11" x14ac:dyDescent="0.2">
      <c r="E22" s="14">
        <f>E18</f>
        <v>46054</v>
      </c>
      <c r="F22" s="49" t="s">
        <v>263</v>
      </c>
      <c r="G22" s="32" t="s">
        <v>361</v>
      </c>
      <c r="H22" s="30">
        <v>1300</v>
      </c>
      <c r="I22" s="23"/>
      <c r="J22" s="15"/>
    </row>
    <row r="23" spans="1:11" x14ac:dyDescent="0.2">
      <c r="A23" s="38">
        <v>3</v>
      </c>
      <c r="B23" s="2" t="s">
        <v>264</v>
      </c>
      <c r="D23" s="9"/>
      <c r="E23" s="14">
        <f>IF((D20&gt;1),(D20-1),E7)</f>
        <v>46145</v>
      </c>
      <c r="F23" s="49" t="s">
        <v>265</v>
      </c>
      <c r="G23" s="32" t="s">
        <v>266</v>
      </c>
      <c r="H23" s="30">
        <v>0</v>
      </c>
      <c r="I23" s="23"/>
      <c r="J23" s="15"/>
    </row>
    <row r="24" spans="1:11" x14ac:dyDescent="0.2">
      <c r="C24" s="6" t="s">
        <v>267</v>
      </c>
      <c r="D24" s="9"/>
      <c r="E24" s="14">
        <f>IF((D21&gt;1),(D21-1),E7)</f>
        <v>46285</v>
      </c>
      <c r="F24" s="49" t="s">
        <v>268</v>
      </c>
      <c r="G24" s="32" t="s">
        <v>266</v>
      </c>
      <c r="H24" s="30">
        <v>0</v>
      </c>
      <c r="I24" s="23"/>
      <c r="J24" s="15"/>
    </row>
    <row r="25" spans="1:11" x14ac:dyDescent="0.2">
      <c r="C25" s="6" t="s">
        <v>269</v>
      </c>
      <c r="D25" s="9"/>
      <c r="E25" s="14">
        <f>IF((D22&gt;1),(D22-1),E7)</f>
        <v>46285</v>
      </c>
      <c r="F25" s="49" t="s">
        <v>270</v>
      </c>
      <c r="G25" s="32" t="s">
        <v>266</v>
      </c>
      <c r="H25" s="30">
        <v>0</v>
      </c>
      <c r="I25" s="15"/>
      <c r="J25" s="16">
        <f>SUM(H20:H25)</f>
        <v>3100</v>
      </c>
    </row>
    <row r="26" spans="1:11" x14ac:dyDescent="0.2">
      <c r="C26" s="11" t="s">
        <v>271</v>
      </c>
      <c r="D26" s="33" t="s">
        <v>272</v>
      </c>
    </row>
    <row r="27" spans="1:11" x14ac:dyDescent="0.2">
      <c r="C27" s="11" t="s">
        <v>273</v>
      </c>
      <c r="D27" s="33" t="s">
        <v>274</v>
      </c>
    </row>
    <row r="28" spans="1:11" x14ac:dyDescent="0.2">
      <c r="C28" s="11" t="s">
        <v>275</v>
      </c>
      <c r="D28" s="33" t="s">
        <v>276</v>
      </c>
      <c r="F28" s="8">
        <v>9</v>
      </c>
      <c r="G28" s="2" t="s">
        <v>277</v>
      </c>
      <c r="H28" s="2"/>
      <c r="I28" s="40" t="s">
        <v>278</v>
      </c>
      <c r="J28" s="41"/>
      <c r="K28" s="52"/>
    </row>
    <row r="29" spans="1:11" x14ac:dyDescent="0.2">
      <c r="C29" s="11" t="s">
        <v>279</v>
      </c>
      <c r="D29" s="33" t="s">
        <v>280</v>
      </c>
      <c r="G29" s="6" t="s">
        <v>281</v>
      </c>
      <c r="H29" s="6" t="s">
        <v>282</v>
      </c>
      <c r="I29" s="51">
        <v>45853</v>
      </c>
      <c r="J29" s="3" t="s">
        <v>283</v>
      </c>
    </row>
    <row r="30" spans="1:11" x14ac:dyDescent="0.2">
      <c r="C30" s="11" t="s">
        <v>284</v>
      </c>
      <c r="D30" s="33" t="s">
        <v>285</v>
      </c>
      <c r="G30" s="6" t="s">
        <v>286</v>
      </c>
      <c r="H30" s="6" t="s">
        <v>282</v>
      </c>
      <c r="I30" s="51">
        <v>45992</v>
      </c>
    </row>
    <row r="31" spans="1:11" x14ac:dyDescent="0.2">
      <c r="C31" s="11" t="s">
        <v>287</v>
      </c>
      <c r="D31" s="33"/>
      <c r="G31" s="6" t="s">
        <v>288</v>
      </c>
      <c r="H31" s="2" t="s">
        <v>289</v>
      </c>
      <c r="I31" s="38" t="s">
        <v>115</v>
      </c>
      <c r="J31" s="38" t="s">
        <v>290</v>
      </c>
    </row>
    <row r="32" spans="1:11" x14ac:dyDescent="0.2">
      <c r="C32" s="11" t="s">
        <v>291</v>
      </c>
      <c r="D32" s="33"/>
      <c r="G32" s="6" t="s">
        <v>292</v>
      </c>
      <c r="H32" s="3" t="s">
        <v>293</v>
      </c>
      <c r="I32" s="39">
        <v>1.3439000000000001</v>
      </c>
      <c r="J32" s="39"/>
    </row>
    <row r="33" spans="1:11" x14ac:dyDescent="0.2">
      <c r="C33" s="11" t="s">
        <v>294</v>
      </c>
      <c r="D33" s="33"/>
      <c r="H33" s="3" t="s">
        <v>295</v>
      </c>
      <c r="I33" s="39">
        <v>1.2951999999999999</v>
      </c>
      <c r="J33" s="39"/>
    </row>
    <row r="34" spans="1:11" x14ac:dyDescent="0.2">
      <c r="H34" s="3" t="s">
        <v>296</v>
      </c>
      <c r="I34" s="39">
        <v>1.3188</v>
      </c>
      <c r="J34" s="39"/>
    </row>
    <row r="35" spans="1:11" x14ac:dyDescent="0.2">
      <c r="A35" s="38">
        <v>4</v>
      </c>
      <c r="B35" s="2" t="s">
        <v>297</v>
      </c>
      <c r="H35" s="3" t="s">
        <v>298</v>
      </c>
      <c r="I35" s="39"/>
      <c r="J35" s="39"/>
      <c r="K35" s="2"/>
    </row>
    <row r="36" spans="1:11" x14ac:dyDescent="0.2">
      <c r="B36" s="6" t="s">
        <v>299</v>
      </c>
      <c r="D36" s="40" t="s">
        <v>300</v>
      </c>
      <c r="E36" s="40"/>
      <c r="F36" s="50"/>
      <c r="G36" s="3" t="s">
        <v>301</v>
      </c>
      <c r="H36" s="3" t="s">
        <v>302</v>
      </c>
      <c r="I36" s="39"/>
      <c r="J36" s="39"/>
      <c r="K36" s="6"/>
    </row>
    <row r="37" spans="1:11" x14ac:dyDescent="0.2">
      <c r="B37" s="6" t="s">
        <v>303</v>
      </c>
      <c r="C37" s="6" t="s">
        <v>155</v>
      </c>
      <c r="D37" s="36" t="s">
        <v>304</v>
      </c>
      <c r="E37" s="36" t="s">
        <v>305</v>
      </c>
      <c r="H37" s="3" t="s">
        <v>306</v>
      </c>
      <c r="I37" s="39"/>
      <c r="J37" s="39"/>
    </row>
    <row r="38" spans="1:11" s="2" customFormat="1" x14ac:dyDescent="0.2">
      <c r="A38" s="38"/>
      <c r="B38" s="6"/>
      <c r="C38" s="3" t="s">
        <v>307</v>
      </c>
      <c r="D38" s="33">
        <v>1.0569999999999999</v>
      </c>
      <c r="E38" s="33">
        <v>0</v>
      </c>
      <c r="F38" s="38"/>
      <c r="G38" s="3"/>
      <c r="H38" s="3" t="s">
        <v>308</v>
      </c>
      <c r="I38" s="39"/>
      <c r="J38" s="39"/>
      <c r="K38" s="3"/>
    </row>
    <row r="39" spans="1:11" s="6" customFormat="1" x14ac:dyDescent="0.2">
      <c r="A39" s="38"/>
      <c r="B39" s="3"/>
      <c r="C39" s="3" t="s">
        <v>309</v>
      </c>
      <c r="D39" s="33">
        <v>1.0569999999999999</v>
      </c>
      <c r="E39" s="33">
        <v>0</v>
      </c>
      <c r="F39" s="38"/>
      <c r="G39" s="3"/>
      <c r="H39" s="3" t="s">
        <v>310</v>
      </c>
      <c r="I39" s="39"/>
      <c r="J39" s="39"/>
      <c r="K39" s="3"/>
    </row>
    <row r="40" spans="1:11" x14ac:dyDescent="0.2">
      <c r="C40" s="3" t="s">
        <v>311</v>
      </c>
      <c r="D40" s="33">
        <v>4.2279999999999998</v>
      </c>
      <c r="E40" s="33">
        <v>0</v>
      </c>
      <c r="G40" s="1"/>
      <c r="H40" s="3" t="s">
        <v>312</v>
      </c>
      <c r="I40" s="39"/>
      <c r="J40" s="39"/>
    </row>
    <row r="41" spans="1:11" x14ac:dyDescent="0.2">
      <c r="C41" s="19" t="s">
        <v>313</v>
      </c>
      <c r="D41" s="37">
        <f>MAX(D38:D40)</f>
        <v>4.2279999999999998</v>
      </c>
      <c r="E41" s="10"/>
      <c r="G41" s="24"/>
      <c r="H41" s="3" t="s">
        <v>314</v>
      </c>
      <c r="I41" s="39"/>
      <c r="J41" s="39"/>
    </row>
    <row r="42" spans="1:11" x14ac:dyDescent="0.2">
      <c r="G42" s="24"/>
      <c r="H42" s="19" t="s">
        <v>315</v>
      </c>
      <c r="I42" s="37">
        <f>MAX(I32:I41)</f>
        <v>1.3439000000000001</v>
      </c>
      <c r="J42" s="37">
        <f>MAX(J32:J41)</f>
        <v>0</v>
      </c>
    </row>
    <row r="43" spans="1:11" x14ac:dyDescent="0.2">
      <c r="A43" s="38">
        <v>5</v>
      </c>
      <c r="B43" s="2" t="s">
        <v>316</v>
      </c>
      <c r="G43" s="24"/>
      <c r="H43" s="25"/>
      <c r="I43" s="25"/>
      <c r="J43" s="25"/>
    </row>
    <row r="44" spans="1:11" x14ac:dyDescent="0.2">
      <c r="B44" s="6" t="s">
        <v>317</v>
      </c>
      <c r="G44" s="19" t="s">
        <v>318</v>
      </c>
      <c r="H44" s="19">
        <v>1.4021999999999999</v>
      </c>
      <c r="I44" s="2"/>
    </row>
    <row r="45" spans="1:11" x14ac:dyDescent="0.2">
      <c r="B45" s="6"/>
      <c r="D45" s="40" t="s">
        <v>319</v>
      </c>
      <c r="E45" s="40"/>
      <c r="F45" s="50"/>
      <c r="I45" s="6"/>
      <c r="J45" s="6"/>
    </row>
    <row r="46" spans="1:11" ht="25.5" x14ac:dyDescent="0.2">
      <c r="B46" s="26" t="s">
        <v>76</v>
      </c>
      <c r="C46" s="26" t="s">
        <v>320</v>
      </c>
      <c r="D46" s="26" t="s">
        <v>321</v>
      </c>
      <c r="E46" s="26" t="s">
        <v>322</v>
      </c>
      <c r="G46" s="19" t="s">
        <v>323</v>
      </c>
      <c r="H46" s="27">
        <f>ROUND(((SUM(J7:J25))*H44),0)</f>
        <v>112260</v>
      </c>
      <c r="J46" s="3" t="s">
        <v>324</v>
      </c>
    </row>
    <row r="47" spans="1:11" x14ac:dyDescent="0.2">
      <c r="B47" s="10" t="s">
        <v>325</v>
      </c>
      <c r="C47" s="34">
        <v>3500</v>
      </c>
      <c r="D47" s="34">
        <v>2000</v>
      </c>
      <c r="E47" s="34">
        <v>6000</v>
      </c>
      <c r="G47" s="19" t="s">
        <v>326</v>
      </c>
      <c r="H47" s="28">
        <f>ROUND((H46*0.1),0)</f>
        <v>11226</v>
      </c>
      <c r="J47" s="3" t="s">
        <v>327</v>
      </c>
    </row>
    <row r="48" spans="1:11" x14ac:dyDescent="0.2">
      <c r="B48" s="10" t="s">
        <v>328</v>
      </c>
      <c r="C48" s="34">
        <v>4500</v>
      </c>
      <c r="D48" s="34">
        <v>2000</v>
      </c>
      <c r="E48" s="34">
        <v>6000</v>
      </c>
      <c r="G48" s="19"/>
      <c r="H48" s="27">
        <f>SUM(H46:H47)</f>
        <v>123486</v>
      </c>
      <c r="J48" s="3" t="s">
        <v>329</v>
      </c>
    </row>
    <row r="49" spans="1:10" x14ac:dyDescent="0.2">
      <c r="B49" s="10" t="s">
        <v>330</v>
      </c>
      <c r="C49" s="34">
        <v>5500</v>
      </c>
      <c r="D49" s="34">
        <v>2000</v>
      </c>
      <c r="E49" s="34">
        <v>7000</v>
      </c>
      <c r="G49" s="19" t="s">
        <v>331</v>
      </c>
      <c r="H49" s="19">
        <f>H48/100*D41</f>
        <v>5220.9880799999992</v>
      </c>
      <c r="J49" s="3" t="s">
        <v>332</v>
      </c>
    </row>
    <row r="50" spans="1:10" ht="13.5" thickBot="1" x14ac:dyDescent="0.25">
      <c r="B50" s="10" t="s">
        <v>333</v>
      </c>
      <c r="C50" s="34">
        <v>5500</v>
      </c>
      <c r="D50" s="34">
        <v>2000</v>
      </c>
      <c r="E50" s="34">
        <v>7000</v>
      </c>
      <c r="G50" s="19" t="s">
        <v>334</v>
      </c>
      <c r="H50" s="29">
        <f>SUM(H48:H49)</f>
        <v>128706.98808</v>
      </c>
    </row>
    <row r="51" spans="1:10" ht="13.5" thickTop="1" x14ac:dyDescent="0.2">
      <c r="B51" s="10" t="s">
        <v>82</v>
      </c>
      <c r="C51" s="34">
        <v>0</v>
      </c>
      <c r="D51" s="34">
        <v>0</v>
      </c>
      <c r="E51" s="34">
        <v>20500</v>
      </c>
    </row>
    <row r="52" spans="1:10" x14ac:dyDescent="0.2">
      <c r="E52" s="12"/>
    </row>
    <row r="54" spans="1:10" s="2" customFormat="1" x14ac:dyDescent="0.2">
      <c r="A54" s="38">
        <v>10</v>
      </c>
      <c r="B54" s="2" t="s">
        <v>335</v>
      </c>
      <c r="F54" s="38"/>
    </row>
    <row r="55" spans="1:10" x14ac:dyDescent="0.2">
      <c r="C55" s="3" t="s">
        <v>77</v>
      </c>
      <c r="D55" s="3" t="s">
        <v>79</v>
      </c>
      <c r="E55" s="3" t="s">
        <v>336</v>
      </c>
    </row>
    <row r="56" spans="1:10" x14ac:dyDescent="0.2">
      <c r="B56" s="3" t="s">
        <v>337</v>
      </c>
      <c r="C56" s="53" t="e">
        <f>#REF!</f>
        <v>#REF!</v>
      </c>
      <c r="D56" s="53">
        <f>E7</f>
        <v>46285</v>
      </c>
      <c r="E56" s="3" t="e">
        <f>ROUND(((D56-C56)/7),0)</f>
        <v>#REF!</v>
      </c>
    </row>
    <row r="57" spans="1:10" x14ac:dyDescent="0.2">
      <c r="B57" s="3" t="s">
        <v>338</v>
      </c>
      <c r="C57" s="53" t="e">
        <f>C56</f>
        <v>#REF!</v>
      </c>
      <c r="D57" s="53">
        <f>D11</f>
        <v>46211</v>
      </c>
      <c r="E57" s="3" t="e">
        <f>ROUND(((D57-C57)/7),0)</f>
        <v>#REF!</v>
      </c>
    </row>
  </sheetData>
  <sheetProtection selectLockedCells="1" selectUnlockedCells="1"/>
  <phoneticPr fontId="2" type="noConversion"/>
  <pageMargins left="0.75" right="0.75" top="1" bottom="1" header="0.5" footer="0.5"/>
  <pageSetup paperSize="9" scale="59" fitToHeight="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2:I49"/>
  <sheetViews>
    <sheetView showGridLines="0" topLeftCell="A2" zoomScaleNormal="100" workbookViewId="0">
      <selection activeCell="B24" sqref="B24"/>
    </sheetView>
  </sheetViews>
  <sheetFormatPr defaultColWidth="9.140625" defaultRowHeight="12.75" x14ac:dyDescent="0.2"/>
  <cols>
    <col min="1" max="1" width="29.28515625" style="61" customWidth="1"/>
    <col min="2" max="2" width="61.7109375" style="61" customWidth="1"/>
    <col min="3" max="256" width="11.42578125" style="61" customWidth="1"/>
    <col min="257" max="16384" width="9.140625" style="61"/>
  </cols>
  <sheetData>
    <row r="2" spans="1:9" ht="59.25" x14ac:dyDescent="0.8">
      <c r="A2" s="76" t="str">
        <f>'Cost of Attendance'!C15&amp;" "&amp;'Cost of Attendance'!C14</f>
        <v xml:space="preserve"> </v>
      </c>
      <c r="B2" s="353" t="s">
        <v>0</v>
      </c>
      <c r="C2" s="77"/>
      <c r="D2" s="77"/>
      <c r="E2" s="77"/>
      <c r="F2" s="77"/>
      <c r="G2" s="77"/>
      <c r="H2" s="78"/>
      <c r="I2" s="78"/>
    </row>
    <row r="3" spans="1:9" ht="15" x14ac:dyDescent="0.25">
      <c r="A3" s="79">
        <f>'Cost of Attendance'!C16</f>
        <v>0</v>
      </c>
      <c r="B3" s="77"/>
      <c r="C3" s="77"/>
      <c r="D3" s="77"/>
      <c r="E3" s="77"/>
      <c r="F3" s="77"/>
      <c r="G3" s="77"/>
      <c r="H3" s="78"/>
      <c r="I3" s="78"/>
    </row>
    <row r="4" spans="1:9" ht="15" x14ac:dyDescent="0.25">
      <c r="A4" s="79">
        <f>'Cost of Attendance'!C17</f>
        <v>0</v>
      </c>
      <c r="B4" s="77"/>
      <c r="C4" s="77"/>
      <c r="D4" s="77"/>
      <c r="E4" s="77"/>
      <c r="F4" s="77"/>
      <c r="G4" s="77"/>
      <c r="H4" s="78"/>
      <c r="I4" s="78"/>
    </row>
    <row r="5" spans="1:9" ht="15" x14ac:dyDescent="0.25">
      <c r="A5" s="79">
        <f>'Cost of Attendance'!C18</f>
        <v>0</v>
      </c>
      <c r="B5" s="77"/>
      <c r="C5" s="77"/>
      <c r="D5" s="77"/>
      <c r="E5" s="77"/>
      <c r="F5" s="77"/>
      <c r="G5" s="77"/>
      <c r="H5" s="78"/>
      <c r="I5" s="78"/>
    </row>
    <row r="6" spans="1:9" ht="15" x14ac:dyDescent="0.25">
      <c r="A6" s="79">
        <f>'Cost of Attendance'!C19</f>
        <v>0</v>
      </c>
      <c r="B6" s="77"/>
      <c r="C6" s="77"/>
      <c r="D6" s="77"/>
      <c r="E6" s="77"/>
      <c r="F6" s="77"/>
      <c r="G6" s="77"/>
      <c r="H6" s="78"/>
      <c r="I6" s="78"/>
    </row>
    <row r="7" spans="1:9" ht="15" x14ac:dyDescent="0.25">
      <c r="A7" s="79">
        <f>'Cost of Attendance'!C20</f>
        <v>0</v>
      </c>
      <c r="B7" s="77"/>
      <c r="C7" s="77"/>
      <c r="D7" s="77"/>
      <c r="E7" s="77"/>
      <c r="F7" s="77"/>
      <c r="G7" s="77"/>
      <c r="H7" s="78"/>
      <c r="I7" s="78"/>
    </row>
    <row r="8" spans="1:9" ht="15" x14ac:dyDescent="0.25">
      <c r="A8" s="77"/>
      <c r="B8" s="77"/>
      <c r="C8" s="77"/>
      <c r="D8" s="77"/>
      <c r="E8" s="77"/>
      <c r="F8" s="77"/>
      <c r="G8" s="77"/>
      <c r="H8" s="78"/>
      <c r="I8" s="78"/>
    </row>
    <row r="9" spans="1:9" ht="21" x14ac:dyDescent="0.35">
      <c r="A9" s="94" t="s">
        <v>339</v>
      </c>
      <c r="B9" s="77"/>
      <c r="C9" s="77"/>
      <c r="D9" s="77"/>
      <c r="E9" s="77"/>
      <c r="F9" s="77"/>
      <c r="G9" s="77"/>
      <c r="H9" s="78"/>
      <c r="I9" s="78"/>
    </row>
    <row r="10" spans="1:9" ht="21" x14ac:dyDescent="0.35">
      <c r="A10" s="95" t="str">
        <f>'Cost of Attendance'!C4</f>
        <v>for Academic Year 2025/26</v>
      </c>
      <c r="B10" s="77"/>
      <c r="C10" s="77"/>
      <c r="D10" s="77"/>
      <c r="E10" s="77"/>
      <c r="F10" s="77"/>
      <c r="G10" s="77"/>
      <c r="H10" s="78"/>
      <c r="I10" s="78"/>
    </row>
    <row r="11" spans="1:9" ht="15" x14ac:dyDescent="0.25">
      <c r="A11" s="77"/>
      <c r="B11" s="77"/>
      <c r="C11" s="77"/>
      <c r="D11" s="77"/>
      <c r="E11" s="77"/>
      <c r="F11" s="77"/>
      <c r="G11" s="77"/>
      <c r="H11" s="78"/>
      <c r="I11" s="78"/>
    </row>
    <row r="12" spans="1:9" ht="15" x14ac:dyDescent="0.25">
      <c r="A12" s="77"/>
      <c r="B12" s="77"/>
      <c r="C12" s="77"/>
      <c r="D12" s="77"/>
      <c r="E12" s="77"/>
      <c r="F12" s="77"/>
      <c r="G12" s="77"/>
      <c r="H12" s="78"/>
      <c r="I12" s="78"/>
    </row>
    <row r="13" spans="1:9" ht="15" x14ac:dyDescent="0.25">
      <c r="A13" s="77" t="s">
        <v>340</v>
      </c>
      <c r="B13" s="77"/>
      <c r="C13" s="77"/>
      <c r="D13" s="77"/>
      <c r="E13" s="77"/>
      <c r="F13" s="77"/>
      <c r="G13" s="77"/>
      <c r="H13" s="78"/>
      <c r="I13" s="78"/>
    </row>
    <row r="14" spans="1:9" ht="15" x14ac:dyDescent="0.25">
      <c r="A14" s="77"/>
      <c r="B14" s="77"/>
      <c r="C14" s="77"/>
      <c r="D14" s="77"/>
      <c r="E14" s="77"/>
      <c r="F14" s="77"/>
      <c r="G14" s="77"/>
      <c r="H14" s="78"/>
      <c r="I14" s="78"/>
    </row>
    <row r="15" spans="1:9" s="62" customFormat="1" ht="15.75" x14ac:dyDescent="0.25">
      <c r="A15" s="80" t="s">
        <v>341</v>
      </c>
      <c r="B15" s="81" t="str">
        <f>'Cost of Attendance'!C15&amp;" "&amp;'Cost of Attendance'!C14</f>
        <v xml:space="preserve"> </v>
      </c>
      <c r="C15" s="82"/>
      <c r="D15" s="82"/>
      <c r="E15" s="82"/>
      <c r="F15" s="82"/>
      <c r="G15" s="82"/>
      <c r="H15" s="83"/>
      <c r="I15" s="83"/>
    </row>
    <row r="16" spans="1:9" s="62" customFormat="1" ht="15.75" x14ac:dyDescent="0.25">
      <c r="A16" s="80" t="s">
        <v>342</v>
      </c>
      <c r="B16" s="84">
        <f>'Cost of Attendance'!C22</f>
        <v>0</v>
      </c>
      <c r="C16" s="82"/>
      <c r="D16" s="82"/>
      <c r="E16" s="82"/>
      <c r="F16" s="82"/>
      <c r="G16" s="82"/>
      <c r="H16" s="83"/>
      <c r="I16" s="83"/>
    </row>
    <row r="17" spans="1:9" s="62" customFormat="1" ht="15.75" x14ac:dyDescent="0.25">
      <c r="A17" s="80" t="s">
        <v>343</v>
      </c>
      <c r="B17" s="85">
        <f>'Cost of Attendance'!C24</f>
        <v>0</v>
      </c>
      <c r="C17" s="82"/>
      <c r="D17" s="82"/>
      <c r="E17" s="82"/>
      <c r="F17" s="82"/>
      <c r="G17" s="82"/>
      <c r="H17" s="83"/>
      <c r="I17" s="83"/>
    </row>
    <row r="18" spans="1:9" s="62" customFormat="1" ht="15.75" x14ac:dyDescent="0.25">
      <c r="A18" s="376" t="s">
        <v>344</v>
      </c>
      <c r="B18" s="377"/>
      <c r="C18" s="82"/>
      <c r="D18" s="82"/>
      <c r="E18" s="82"/>
      <c r="F18" s="82"/>
      <c r="G18" s="82"/>
      <c r="H18" s="83"/>
      <c r="I18" s="83"/>
    </row>
    <row r="19" spans="1:9" s="63" customFormat="1" ht="117" customHeight="1" x14ac:dyDescent="0.25">
      <c r="A19" s="374" t="s">
        <v>345</v>
      </c>
      <c r="B19" s="375"/>
      <c r="C19" s="77"/>
      <c r="D19" s="77"/>
      <c r="E19" s="77"/>
      <c r="F19" s="77"/>
      <c r="G19" s="77"/>
      <c r="H19" s="78"/>
      <c r="I19" s="78"/>
    </row>
    <row r="20" spans="1:9" s="63" customFormat="1" ht="15.75" x14ac:dyDescent="0.25">
      <c r="A20" s="77"/>
      <c r="B20" s="77"/>
      <c r="C20" s="77"/>
      <c r="D20" s="77"/>
      <c r="E20" s="77"/>
      <c r="F20" s="77"/>
      <c r="G20" s="77"/>
      <c r="H20" s="78"/>
      <c r="I20" s="78"/>
    </row>
    <row r="21" spans="1:9" s="63" customFormat="1" ht="15.75" x14ac:dyDescent="0.25">
      <c r="A21" s="77" t="s">
        <v>346</v>
      </c>
      <c r="B21" s="77"/>
      <c r="C21" s="77"/>
      <c r="D21" s="77"/>
      <c r="E21" s="77"/>
      <c r="F21" s="77"/>
      <c r="G21" s="77"/>
      <c r="H21" s="78"/>
      <c r="I21" s="78"/>
    </row>
    <row r="22" spans="1:9" s="62" customFormat="1" ht="15.75" x14ac:dyDescent="0.25">
      <c r="A22" s="86" t="s">
        <v>347</v>
      </c>
      <c r="B22" s="87">
        <v>45922</v>
      </c>
      <c r="C22" s="82"/>
      <c r="D22" s="82"/>
      <c r="E22" s="82"/>
      <c r="F22" s="82"/>
      <c r="G22" s="82"/>
      <c r="H22" s="83"/>
      <c r="I22" s="83"/>
    </row>
    <row r="23" spans="1:9" s="62" customFormat="1" ht="15.75" x14ac:dyDescent="0.25">
      <c r="A23" s="86" t="s">
        <v>348</v>
      </c>
      <c r="B23" s="87">
        <v>46290</v>
      </c>
      <c r="C23" s="82"/>
      <c r="D23" s="82"/>
      <c r="E23" s="82"/>
      <c r="F23" s="82"/>
      <c r="G23" s="82"/>
      <c r="H23" s="83"/>
      <c r="I23" s="83"/>
    </row>
    <row r="24" spans="1:9" ht="15.75" customHeight="1" x14ac:dyDescent="0.25">
      <c r="A24" s="77"/>
      <c r="B24" s="77"/>
      <c r="C24" s="77"/>
      <c r="D24" s="77"/>
      <c r="E24" s="77"/>
      <c r="F24" s="77"/>
      <c r="G24" s="77"/>
      <c r="H24" s="78"/>
      <c r="I24" s="78"/>
    </row>
    <row r="25" spans="1:9" ht="15.75" customHeight="1" x14ac:dyDescent="0.25">
      <c r="A25" s="77" t="s">
        <v>349</v>
      </c>
      <c r="B25" s="77"/>
      <c r="C25" s="77"/>
      <c r="D25" s="77"/>
      <c r="E25" s="77"/>
      <c r="F25" s="77"/>
      <c r="G25" s="77"/>
      <c r="H25" s="78"/>
      <c r="I25" s="78"/>
    </row>
    <row r="26" spans="1:9" s="63" customFormat="1" ht="15.75" customHeight="1" x14ac:dyDescent="0.25">
      <c r="A26" s="78" t="s">
        <v>350</v>
      </c>
      <c r="B26" s="77"/>
      <c r="C26" s="77"/>
      <c r="D26" s="77"/>
      <c r="E26" s="77"/>
      <c r="F26" s="77"/>
      <c r="G26" s="77"/>
      <c r="H26" s="78"/>
      <c r="I26" s="78"/>
    </row>
    <row r="27" spans="1:9" s="62" customFormat="1" ht="15.75" customHeight="1" x14ac:dyDescent="0.25">
      <c r="A27" s="80" t="s">
        <v>155</v>
      </c>
      <c r="B27" s="86" t="s">
        <v>351</v>
      </c>
      <c r="C27" s="82"/>
      <c r="D27" s="82"/>
      <c r="E27" s="82"/>
      <c r="F27" s="82"/>
      <c r="G27" s="82"/>
      <c r="H27" s="83"/>
      <c r="I27" s="83"/>
    </row>
    <row r="28" spans="1:9" s="62" customFormat="1" ht="15.75" customHeight="1" x14ac:dyDescent="0.25">
      <c r="A28" s="80" t="s">
        <v>352</v>
      </c>
      <c r="B28" s="88">
        <f>'Cost of Attendance'!E88</f>
        <v>0</v>
      </c>
      <c r="C28" s="82"/>
      <c r="D28" s="82"/>
      <c r="E28" s="82"/>
      <c r="F28" s="82"/>
      <c r="G28" s="82"/>
      <c r="H28" s="83"/>
      <c r="I28" s="83"/>
    </row>
    <row r="29" spans="1:9" s="62" customFormat="1" ht="15.75" customHeight="1" x14ac:dyDescent="0.25">
      <c r="A29" s="80" t="s">
        <v>353</v>
      </c>
      <c r="B29" s="88">
        <f>'Cost of Attendance'!E89</f>
        <v>0</v>
      </c>
      <c r="C29" s="82"/>
      <c r="D29" s="82"/>
      <c r="E29" s="82"/>
      <c r="F29" s="82"/>
      <c r="G29" s="82"/>
      <c r="H29" s="83"/>
      <c r="I29" s="83"/>
    </row>
    <row r="30" spans="1:9" s="62" customFormat="1" ht="15.75" customHeight="1" x14ac:dyDescent="0.25">
      <c r="A30" s="80" t="s">
        <v>354</v>
      </c>
      <c r="B30" s="88">
        <f>'Cost of Attendance'!E90</f>
        <v>0</v>
      </c>
      <c r="C30" s="82"/>
      <c r="D30" s="82"/>
      <c r="E30" s="82"/>
      <c r="F30" s="82"/>
      <c r="G30" s="82"/>
      <c r="H30" s="83"/>
      <c r="I30" s="83"/>
    </row>
    <row r="31" spans="1:9" s="62" customFormat="1" ht="15.75" customHeight="1" thickBot="1" x14ac:dyDescent="0.3">
      <c r="A31" s="89" t="s">
        <v>355</v>
      </c>
      <c r="B31" s="88">
        <f>'Cost of Attendance'!E91</f>
        <v>0</v>
      </c>
      <c r="C31" s="82"/>
      <c r="D31" s="82"/>
      <c r="E31" s="82"/>
      <c r="F31" s="82"/>
      <c r="G31" s="82"/>
      <c r="H31" s="83"/>
      <c r="I31" s="83"/>
    </row>
    <row r="32" spans="1:9" ht="15.75" customHeight="1" thickTop="1" x14ac:dyDescent="0.25">
      <c r="A32" s="77"/>
      <c r="B32" s="90"/>
      <c r="C32" s="77"/>
      <c r="D32" s="77"/>
      <c r="E32" s="77"/>
      <c r="F32" s="77"/>
      <c r="G32" s="77"/>
      <c r="H32" s="78"/>
      <c r="I32" s="78"/>
    </row>
    <row r="33" spans="1:9" s="63" customFormat="1" ht="15.75" customHeight="1" x14ac:dyDescent="0.25">
      <c r="A33" s="77" t="s">
        <v>356</v>
      </c>
      <c r="B33" s="90"/>
      <c r="C33" s="77"/>
      <c r="D33" s="77"/>
      <c r="E33" s="77"/>
      <c r="F33" s="77"/>
      <c r="G33" s="77"/>
      <c r="H33" s="78"/>
      <c r="I33" s="78"/>
    </row>
    <row r="34" spans="1:9" s="62" customFormat="1" ht="15.75" customHeight="1" x14ac:dyDescent="0.25">
      <c r="A34" s="87">
        <f>'Cost of Attendance'!M13</f>
        <v>45929</v>
      </c>
      <c r="B34" s="88">
        <f>'Cost of Attendance'!N13</f>
        <v>0</v>
      </c>
      <c r="C34" s="82"/>
      <c r="D34" s="82"/>
      <c r="E34" s="82"/>
      <c r="F34" s="82"/>
      <c r="G34" s="82"/>
      <c r="H34" s="83"/>
      <c r="I34" s="83"/>
    </row>
    <row r="35" spans="1:9" s="62" customFormat="1" ht="15.75" customHeight="1" x14ac:dyDescent="0.25">
      <c r="A35" s="87">
        <f>'Cost of Attendance'!M14</f>
        <v>46055</v>
      </c>
      <c r="B35" s="88">
        <f>'Cost of Attendance'!N14</f>
        <v>0</v>
      </c>
      <c r="C35" s="82"/>
      <c r="D35" s="82"/>
      <c r="E35" s="82"/>
      <c r="F35" s="82"/>
      <c r="G35" s="82"/>
      <c r="H35" s="83"/>
      <c r="I35" s="83"/>
    </row>
    <row r="36" spans="1:9" s="62" customFormat="1" ht="15.75" customHeight="1" x14ac:dyDescent="0.25">
      <c r="A36" s="87">
        <f>'Cost of Attendance'!M15</f>
        <v>46146</v>
      </c>
      <c r="B36" s="88">
        <f>'Cost of Attendance'!N15</f>
        <v>0</v>
      </c>
      <c r="C36" s="82"/>
      <c r="D36" s="82"/>
      <c r="E36" s="82"/>
      <c r="F36" s="82"/>
      <c r="G36" s="82"/>
      <c r="H36" s="83"/>
      <c r="I36" s="83"/>
    </row>
    <row r="37" spans="1:9" s="62" customFormat="1" ht="15.75" customHeight="1" x14ac:dyDescent="0.25">
      <c r="A37" s="87" t="str">
        <f>IF(('Cost of Attendance'!M16&gt;'Cost of Attendance'!J15),'Cost of Attendance'!M16,"")</f>
        <v/>
      </c>
      <c r="B37" s="88" t="str">
        <f>IF(('Cost of Attendance'!N16&gt;'Cost of Attendance'!K15),'Cost of Attendance'!N16,"")</f>
        <v/>
      </c>
      <c r="C37" s="82"/>
      <c r="D37" s="82"/>
      <c r="E37" s="82"/>
      <c r="F37" s="82"/>
      <c r="G37" s="82"/>
      <c r="H37" s="83"/>
      <c r="I37" s="83"/>
    </row>
    <row r="38" spans="1:9" s="62" customFormat="1" ht="15.75" customHeight="1" thickBot="1" x14ac:dyDescent="0.3">
      <c r="A38" s="91" t="s">
        <v>355</v>
      </c>
      <c r="B38" s="88">
        <f>SUM(B34:B37)</f>
        <v>0</v>
      </c>
      <c r="C38" s="82"/>
      <c r="D38" s="82"/>
      <c r="E38" s="82"/>
      <c r="F38" s="82"/>
      <c r="G38" s="82"/>
      <c r="H38" s="83"/>
      <c r="I38" s="83"/>
    </row>
    <row r="39" spans="1:9" ht="15.75" thickTop="1" x14ac:dyDescent="0.25">
      <c r="A39" s="77"/>
      <c r="B39" s="77"/>
      <c r="C39" s="77"/>
      <c r="D39" s="77"/>
      <c r="E39" s="77"/>
      <c r="F39" s="77"/>
      <c r="G39" s="77"/>
      <c r="H39" s="78"/>
      <c r="I39" s="78"/>
    </row>
    <row r="40" spans="1:9" s="63" customFormat="1" ht="15.75" x14ac:dyDescent="0.25">
      <c r="A40" s="77" t="s">
        <v>357</v>
      </c>
      <c r="B40" s="77"/>
      <c r="C40" s="77"/>
      <c r="D40" s="77"/>
      <c r="E40" s="77"/>
      <c r="F40" s="77"/>
      <c r="G40" s="77"/>
      <c r="H40" s="78"/>
      <c r="I40" s="78"/>
    </row>
    <row r="41" spans="1:9" s="63" customFormat="1" ht="15.75" x14ac:dyDescent="0.25">
      <c r="A41" s="77"/>
      <c r="B41" s="77"/>
      <c r="C41" s="77"/>
      <c r="D41" s="77"/>
      <c r="E41" s="77"/>
      <c r="F41" s="77"/>
      <c r="G41" s="77"/>
      <c r="H41" s="78"/>
      <c r="I41" s="78"/>
    </row>
    <row r="42" spans="1:9" s="63" customFormat="1" ht="15.75" x14ac:dyDescent="0.25">
      <c r="A42" s="78"/>
      <c r="B42" s="77"/>
      <c r="C42" s="77"/>
      <c r="D42" s="77"/>
      <c r="E42" s="77"/>
      <c r="F42" s="77"/>
      <c r="G42" s="77"/>
      <c r="H42" s="78"/>
      <c r="I42" s="78"/>
    </row>
    <row r="43" spans="1:9" ht="15" x14ac:dyDescent="0.25">
      <c r="A43" s="78" t="s">
        <v>358</v>
      </c>
      <c r="B43" s="92">
        <f ca="1">TODAY()</f>
        <v>45855</v>
      </c>
      <c r="C43" s="77"/>
      <c r="D43" s="77"/>
      <c r="E43" s="77"/>
      <c r="F43" s="77"/>
      <c r="G43" s="77"/>
      <c r="H43" s="78"/>
      <c r="I43" s="78"/>
    </row>
    <row r="44" spans="1:9" ht="15" x14ac:dyDescent="0.25">
      <c r="A44" s="77"/>
      <c r="B44" s="77"/>
      <c r="C44" s="77"/>
      <c r="D44" s="77"/>
      <c r="E44" s="77"/>
      <c r="F44" s="77"/>
      <c r="G44" s="77"/>
      <c r="H44" s="78"/>
      <c r="I44" s="78"/>
    </row>
    <row r="45" spans="1:9" ht="15" x14ac:dyDescent="0.25">
      <c r="A45" s="96" t="s">
        <v>359</v>
      </c>
      <c r="B45" s="77"/>
      <c r="C45" s="93"/>
      <c r="D45" s="93"/>
      <c r="E45" s="93"/>
      <c r="F45" s="77"/>
      <c r="G45" s="77"/>
      <c r="H45" s="78"/>
      <c r="I45" s="78"/>
    </row>
    <row r="46" spans="1:9" x14ac:dyDescent="0.2">
      <c r="A46" s="60"/>
      <c r="B46" s="60"/>
      <c r="C46" s="60"/>
      <c r="D46" s="60"/>
      <c r="E46" s="60"/>
      <c r="F46" s="60"/>
      <c r="G46" s="60"/>
    </row>
    <row r="47" spans="1:9" x14ac:dyDescent="0.2">
      <c r="C47" s="60"/>
      <c r="D47" s="60"/>
      <c r="E47" s="60"/>
      <c r="F47" s="60"/>
      <c r="G47" s="60"/>
    </row>
    <row r="48" spans="1:9" x14ac:dyDescent="0.2">
      <c r="C48" s="60"/>
      <c r="D48" s="60"/>
      <c r="E48" s="60"/>
      <c r="F48" s="60"/>
      <c r="G48" s="60"/>
    </row>
    <row r="49" spans="3:7" x14ac:dyDescent="0.2">
      <c r="C49" s="60"/>
      <c r="D49" s="60"/>
      <c r="E49" s="60"/>
      <c r="F49" s="60"/>
      <c r="G49" s="60"/>
    </row>
  </sheetData>
  <sheetProtection selectLockedCells="1" selectUnlockedCells="1"/>
  <mergeCells count="2">
    <mergeCell ref="A19:B19"/>
    <mergeCell ref="A18:B18"/>
  </mergeCells>
  <phoneticPr fontId="2" type="noConversion"/>
  <pageMargins left="0.7" right="0.7" top="0.75" bottom="0.75" header="0.3" footer="0.3"/>
  <pageSetup scale="74"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6C6FD1F4A87D4F931711E6ADE62A59" ma:contentTypeVersion="10" ma:contentTypeDescription="Create a new document." ma:contentTypeScope="" ma:versionID="3e928270dfbe12b0068b1f00dda3e026">
  <xsd:schema xmlns:xsd="http://www.w3.org/2001/XMLSchema" xmlns:xs="http://www.w3.org/2001/XMLSchema" xmlns:p="http://schemas.microsoft.com/office/2006/metadata/properties" xmlns:ns2="579219ff-c5cd-4838-9df8-5f898a88cd35" targetNamespace="http://schemas.microsoft.com/office/2006/metadata/properties" ma:root="true" ma:fieldsID="2e8306d6b93328d03efd7e2161390e03" ns2:_="">
    <xsd:import namespace="579219ff-c5cd-4838-9df8-5f898a88cd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219ff-c5cd-4838-9df8-5f898a88c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A2527-2F15-4B49-9E93-900E3DE37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219ff-c5cd-4838-9df8-5f898a88c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8C3EAE-4A08-4DEE-A752-35CE38E6AD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Home</vt:lpstr>
      <vt:lpstr>Introduction</vt:lpstr>
      <vt:lpstr>Basis of Costs</vt:lpstr>
      <vt:lpstr>Cost of Attendance</vt:lpstr>
      <vt:lpstr>School DATA</vt:lpstr>
      <vt:lpstr>Visa Letter (Office use only)</vt:lpstr>
      <vt:lpstr>'Cost of Attendance'!Print_Area</vt:lpstr>
      <vt:lpstr>'Visa Letter (Office use only)'!Print_Area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Ruane,G</dc:creator>
  <cp:keywords/>
  <dc:description/>
  <cp:lastModifiedBy>Itziar Banerjee Martin</cp:lastModifiedBy>
  <cp:revision/>
  <dcterms:created xsi:type="dcterms:W3CDTF">2009-04-02T10:59:38Z</dcterms:created>
  <dcterms:modified xsi:type="dcterms:W3CDTF">2025-07-17T11:08:08Z</dcterms:modified>
  <cp:category/>
  <cp:contentStatus/>
</cp:coreProperties>
</file>